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embeddings/oleObject76.bin" ContentType="application/vnd.openxmlformats-officedocument.oleObject"/>
  <Override PartName="/xl/embeddings/oleObject77.bin" ContentType="application/vnd.openxmlformats-officedocument.oleObject"/>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DieseArbeitsmappe" defaultThemeVersion="124226"/>
  <mc:AlternateContent xmlns:mc="http://schemas.openxmlformats.org/markup-compatibility/2006">
    <mc:Choice Requires="x15">
      <x15ac:absPath xmlns:x15ac="http://schemas.microsoft.com/office/spreadsheetml/2010/11/ac" url="S:\Allgemeine.Daten\F &amp; E\001_Excel_Bemessungstools\001_Belastungsblatt\"/>
    </mc:Choice>
  </mc:AlternateContent>
  <xr:revisionPtr revIDLastSave="0" documentId="8_{0C5962B3-F1A8-4695-83A3-B66EB1F36552}" xr6:coauthVersionLast="47" xr6:coauthVersionMax="47" xr10:uidLastSave="{00000000-0000-0000-0000-000000000000}"/>
  <workbookProtection workbookAlgorithmName="SHA-512" workbookHashValue="BH+fCes5DE9+Za1i96plTTzb/22UomAM2ZjNaLQGE8Bw+jOXoMVif5gpimzwS/x43Vh94mbmw5oMZePS1NS2/w==" workbookSaltValue="Q5V21eNhBRLm0iDm9Ypqrg==" workbookSpinCount="100000" lockStructure="1"/>
  <bookViews>
    <workbookView xWindow="-120" yWindow="-120" windowWidth="29040" windowHeight="15840" firstSheet="3" activeTab="3" xr2:uid="{00000000-000D-0000-FFFF-FFFF00000000}"/>
  </bookViews>
  <sheets>
    <sheet name="RICON_RICON-S-EK_GIGANT_WALCO " sheetId="1" state="hidden" r:id="rId1"/>
    <sheet name="RICON-S-VS" sheetId="3" state="hidden" r:id="rId2"/>
    <sheet name="RICON_Edelstahl" sheetId="4" state="hidden" r:id="rId3"/>
    <sheet name="Deckblatt" sheetId="18" r:id="rId4"/>
    <sheet name="Deckblatt-Sprachen" sheetId="19" state="hidden" r:id="rId5"/>
    <sheet name="RICON" sheetId="5" r:id="rId6"/>
    <sheet name="Belastungsblatt_RICON_DE" sheetId="12" state="hidden" r:id="rId7"/>
    <sheet name="RICON_Sprachen_DE_EN-FR" sheetId="15" state="hidden" r:id="rId8"/>
    <sheet name="RICON-S" sheetId="8" r:id="rId9"/>
    <sheet name="RICON-S_Sprachen_DE-EN-FR" sheetId="17" state="hidden" r:id="rId10"/>
    <sheet name="GIGANT" sheetId="7" r:id="rId11"/>
    <sheet name="GIGANT_Sprachen_DE-EN-FR" sheetId="16" state="hidden" r:id="rId12"/>
    <sheet name="Belastungsblatt_ETA_neu_EN" sheetId="6" state="hidden" r:id="rId13"/>
    <sheet name="Belastungsblatt_GIGANT_EN" sheetId="13" state="hidden" r:id="rId14"/>
    <sheet name="Belastungsblatt_RICON-S_EN" sheetId="14" state="hidden" r:id="rId15"/>
  </sheets>
  <definedNames>
    <definedName name="Bild_1">#REF!</definedName>
    <definedName name="Bild_10">#REF!</definedName>
    <definedName name="Bild_2">#REF!</definedName>
    <definedName name="Bild_21">#REF!</definedName>
    <definedName name="Bild_3">#REF!</definedName>
    <definedName name="Bild11">#REF!</definedName>
    <definedName name="Bild12">#REF!</definedName>
    <definedName name="Bild13">#REF!</definedName>
    <definedName name="Bild14">#REF!</definedName>
    <definedName name="Bild15">#REF!</definedName>
    <definedName name="Bild20">#REF!</definedName>
    <definedName name="Bild4">#REF!</definedName>
    <definedName name="Bild5">#REF!</definedName>
    <definedName name="Bild6">#REF!</definedName>
    <definedName name="Bild7">#REF!</definedName>
    <definedName name="Bild8">#REF!</definedName>
    <definedName name="Bild9">#REF!</definedName>
    <definedName name="_xlnm.Print_Area" localSheetId="12">Belastungsblatt_ETA_neu_EN!$K$1:$U$245</definedName>
    <definedName name="_xlnm.Print_Area" localSheetId="10">GIGANT!$A$1:$L$36</definedName>
    <definedName name="_xlnm.Print_Area" localSheetId="5">RICON!$A$1:$K$137</definedName>
    <definedName name="_xlnm.Print_Area" localSheetId="8">'RICON-S'!$A$1:$L$116</definedName>
    <definedName name="Print_Area" localSheetId="12">Belastungsblatt_ETA_neu_EN!$K$196:$T$235</definedName>
    <definedName name="Print_Area" localSheetId="6">Belastungsblatt_RICON_DE!$A$70:$J$107</definedName>
    <definedName name="Print_Area" localSheetId="5">RICON!$A$93:$J$136</definedName>
    <definedName name="Z_88029C9E_0AAA_4AEA_8FBA_3530118F01BF_.wvu.Cols" localSheetId="12" hidden="1">Belastungsblatt_ETA_neu_EN!$A:$J</definedName>
    <definedName name="Z_88029C9E_0AAA_4AEA_8FBA_3530118F01BF_.wvu.Cols" localSheetId="13" hidden="1">Belastungsblatt_GIGANT_EN!$L:$T</definedName>
    <definedName name="Z_88029C9E_0AAA_4AEA_8FBA_3530118F01BF_.wvu.Cols" localSheetId="6" hidden="1">Belastungsblatt_RICON_DE!$K:$S</definedName>
    <definedName name="Z_88029C9E_0AAA_4AEA_8FBA_3530118F01BF_.wvu.Cols" localSheetId="14" hidden="1">'Belastungsblatt_RICON-S_EN'!$K:$S</definedName>
    <definedName name="Z_88029C9E_0AAA_4AEA_8FBA_3530118F01BF_.wvu.Cols" localSheetId="10" hidden="1">GIGANT!$L:$T</definedName>
    <definedName name="Z_88029C9E_0AAA_4AEA_8FBA_3530118F01BF_.wvu.Cols" localSheetId="5" hidden="1">RICON!$L:$T</definedName>
    <definedName name="Z_88029C9E_0AAA_4AEA_8FBA_3530118F01BF_.wvu.Cols" localSheetId="8" hidden="1">'RICON-S'!$K:$S</definedName>
    <definedName name="Z_88029C9E_0AAA_4AEA_8FBA_3530118F01BF_.wvu.PrintArea" localSheetId="12" hidden="1">Belastungsblatt_ETA_neu_EN!$K$1:$U$245</definedName>
    <definedName name="Z_88029C9E_0AAA_4AEA_8FBA_3530118F01BF_.wvu.Rows" localSheetId="2" hidden="1">RICON_Edelstahl!$338:$374</definedName>
    <definedName name="Z_88029C9E_0AAA_4AEA_8FBA_3530118F01BF_.wvu.Rows" localSheetId="0" hidden="1">'RICON_RICON-S-EK_GIGANT_WALCO '!$220:$227,'RICON_RICON-S-EK_GIGANT_WALCO '!$242:$249,'RICON_RICON-S-EK_GIGANT_WALCO '!$265:$272,'RICON_RICON-S-EK_GIGANT_WALCO '!$546:$553,'RICON_RICON-S-EK_GIGANT_WALCO '!$564:$571,'RICON_RICON-S-EK_GIGANT_WALCO '!$583:$590,'RICON_RICON-S-EK_GIGANT_WALCO '!$844:$851,'RICON_RICON-S-EK_GIGANT_WALCO '!$867:$874,'RICON_RICON-S-EK_GIGANT_WALCO '!$889:$896,'RICON_RICON-S-EK_GIGANT_WALCO '!$911:$918,'RICON_RICON-S-EK_GIGANT_WALCO '!$933:$940</definedName>
  </definedNames>
  <calcPr calcId="191029"/>
  <customWorkbookViews>
    <customWorkbookView name="Olga Romanova - Persönliche Ansicht" guid="{88029C9E-0AAA-4AEA-8FBA-3530118F01BF}" mergeInterval="0" personalView="1" maximized="1" windowWidth="1909" windowHeight="84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7" l="1"/>
  <c r="K6" i="8"/>
  <c r="K5" i="5"/>
  <c r="K5" i="18"/>
  <c r="A51" i="18"/>
  <c r="E36" i="18"/>
  <c r="I36" i="18"/>
  <c r="G36" i="18"/>
  <c r="B36" i="18"/>
  <c r="A33" i="18"/>
  <c r="D16" i="18"/>
  <c r="D15" i="18"/>
  <c r="D14" i="18"/>
  <c r="D13" i="18"/>
  <c r="B13" i="18"/>
  <c r="B12" i="18"/>
  <c r="B11" i="18"/>
  <c r="B10" i="18"/>
  <c r="B9" i="18"/>
  <c r="B8" i="18"/>
  <c r="A7" i="18"/>
  <c r="A4" i="18"/>
  <c r="A1" i="18"/>
  <c r="C96" i="8"/>
  <c r="C97" i="8"/>
  <c r="C98" i="8"/>
  <c r="C99" i="8"/>
  <c r="C100" i="8"/>
  <c r="C101" i="8"/>
  <c r="C102" i="8"/>
  <c r="C103" i="8"/>
  <c r="C104" i="8"/>
  <c r="C105" i="8"/>
  <c r="C106" i="8"/>
  <c r="C107" i="8"/>
  <c r="C108" i="8"/>
  <c r="C109" i="8"/>
  <c r="C95" i="8"/>
  <c r="E179" i="3"/>
  <c r="E180" i="3"/>
  <c r="E181" i="3"/>
  <c r="E182" i="3"/>
  <c r="E183" i="3"/>
  <c r="E184" i="3"/>
  <c r="E185" i="3"/>
  <c r="E186" i="3"/>
  <c r="E187" i="3"/>
  <c r="E188" i="3"/>
  <c r="E189" i="3"/>
  <c r="E190" i="3"/>
  <c r="E191" i="3"/>
  <c r="E192" i="3"/>
  <c r="E178" i="3"/>
  <c r="I190" i="3"/>
  <c r="I187" i="3"/>
  <c r="I188" i="3"/>
  <c r="I184" i="3"/>
  <c r="I181" i="3"/>
  <c r="I178" i="3"/>
  <c r="E171" i="3"/>
  <c r="E168" i="3"/>
  <c r="E165" i="3"/>
  <c r="E162" i="3"/>
  <c r="E159" i="3"/>
  <c r="E160" i="3"/>
  <c r="D141" i="3"/>
  <c r="D142" i="3"/>
  <c r="D143" i="3"/>
  <c r="D144" i="3"/>
  <c r="D145" i="3"/>
  <c r="D146" i="3"/>
  <c r="D147" i="3"/>
  <c r="D148" i="3"/>
  <c r="D149" i="3"/>
  <c r="D150" i="3"/>
  <c r="D151" i="3"/>
  <c r="D152" i="3"/>
  <c r="D153" i="3"/>
  <c r="D154" i="3"/>
  <c r="D140" i="3"/>
  <c r="G143" i="3"/>
  <c r="E132" i="3"/>
  <c r="E129" i="3"/>
  <c r="E126" i="3"/>
  <c r="E123" i="3"/>
  <c r="E124" i="3"/>
  <c r="E120" i="3"/>
  <c r="B109" i="3"/>
  <c r="B31" i="3"/>
  <c r="B23" i="3"/>
  <c r="F19" i="3"/>
  <c r="G19" i="3" s="1"/>
  <c r="H19" i="3"/>
  <c r="I19" i="3"/>
  <c r="F16" i="3"/>
  <c r="G16" i="3" s="1"/>
  <c r="H16" i="3"/>
  <c r="I16" i="3"/>
  <c r="F13" i="3"/>
  <c r="G13" i="3" s="1"/>
  <c r="H13" i="3"/>
  <c r="I13" i="3"/>
  <c r="F14" i="3"/>
  <c r="G14" i="3" s="1"/>
  <c r="H14" i="3"/>
  <c r="I14" i="3"/>
  <c r="F10" i="3"/>
  <c r="G10" i="3" s="1"/>
  <c r="H10" i="3"/>
  <c r="I10" i="3"/>
  <c r="F7" i="3"/>
  <c r="G7" i="3" s="1"/>
  <c r="H7" i="3"/>
  <c r="I7" i="3"/>
  <c r="C59" i="8"/>
  <c r="C60" i="8"/>
  <c r="C61" i="8"/>
  <c r="C62" i="8"/>
  <c r="C63" i="8"/>
  <c r="C64" i="8"/>
  <c r="C65" i="8"/>
  <c r="C58" i="8"/>
  <c r="D912" i="1"/>
  <c r="D913" i="1"/>
  <c r="D914" i="1"/>
  <c r="D915" i="1"/>
  <c r="D916" i="1"/>
  <c r="D917" i="1"/>
  <c r="D918" i="1"/>
  <c r="D911" i="1"/>
  <c r="C868" i="1"/>
  <c r="C869" i="1"/>
  <c r="C870" i="1"/>
  <c r="C871" i="1"/>
  <c r="C872" i="1"/>
  <c r="C873" i="1"/>
  <c r="C874" i="1"/>
  <c r="C867" i="1"/>
  <c r="B835" i="1"/>
  <c r="B836" i="1" s="1"/>
  <c r="E849" i="1" s="1"/>
  <c r="B827" i="1"/>
  <c r="C23" i="8"/>
  <c r="C24" i="8"/>
  <c r="C25" i="8"/>
  <c r="C26" i="8"/>
  <c r="C27" i="8"/>
  <c r="C28" i="8"/>
  <c r="C29" i="8"/>
  <c r="C30" i="8"/>
  <c r="C31" i="8"/>
  <c r="C22" i="8"/>
  <c r="D920" i="1"/>
  <c r="D921" i="1"/>
  <c r="D922" i="1"/>
  <c r="D923" i="1"/>
  <c r="D924" i="1"/>
  <c r="D925" i="1"/>
  <c r="D926" i="1"/>
  <c r="D927" i="1"/>
  <c r="D928" i="1"/>
  <c r="D919" i="1"/>
  <c r="D905" i="1"/>
  <c r="D903" i="1"/>
  <c r="D900" i="1"/>
  <c r="D897" i="1"/>
  <c r="C876" i="1"/>
  <c r="C877" i="1"/>
  <c r="C878" i="1"/>
  <c r="C879" i="1"/>
  <c r="C880" i="1"/>
  <c r="C881" i="1"/>
  <c r="C882" i="1"/>
  <c r="C883" i="1"/>
  <c r="C884" i="1"/>
  <c r="C875" i="1"/>
  <c r="D860" i="1"/>
  <c r="D858" i="1"/>
  <c r="D855" i="1"/>
  <c r="D852" i="1"/>
  <c r="B209" i="1"/>
  <c r="B36" i="1"/>
  <c r="B53" i="1"/>
  <c r="D51" i="1"/>
  <c r="E51" i="1" s="1"/>
  <c r="F51" i="1"/>
  <c r="G51" i="1"/>
  <c r="D49" i="1"/>
  <c r="E49" i="1" s="1"/>
  <c r="F49" i="1"/>
  <c r="G49" i="1"/>
  <c r="D46" i="1"/>
  <c r="E46" i="1" s="1"/>
  <c r="F46" i="1"/>
  <c r="G46" i="1"/>
  <c r="D43" i="1"/>
  <c r="E43" i="1" s="1"/>
  <c r="F43" i="1"/>
  <c r="G43" i="1"/>
  <c r="I93" i="8"/>
  <c r="E94" i="8"/>
  <c r="E93" i="8"/>
  <c r="D94" i="8"/>
  <c r="C94" i="8"/>
  <c r="I56" i="8"/>
  <c r="E57" i="8"/>
  <c r="E56" i="8"/>
  <c r="D57" i="8"/>
  <c r="C57" i="8"/>
  <c r="I20" i="8"/>
  <c r="E21" i="8"/>
  <c r="E20" i="8"/>
  <c r="D21" i="8"/>
  <c r="C21" i="8"/>
  <c r="A77" i="8"/>
  <c r="A41" i="8"/>
  <c r="A7" i="8"/>
  <c r="C26" i="7"/>
  <c r="C25" i="7"/>
  <c r="C24" i="7"/>
  <c r="C23" i="7"/>
  <c r="C22" i="7"/>
  <c r="C21" i="7"/>
  <c r="C20" i="7"/>
  <c r="J654" i="1"/>
  <c r="B630" i="1"/>
  <c r="B96" i="1"/>
  <c r="B14" i="1"/>
  <c r="E95" i="8" l="1"/>
  <c r="E107" i="8"/>
  <c r="E101" i="8"/>
  <c r="E97" i="8"/>
  <c r="E104" i="8"/>
  <c r="E98" i="8"/>
  <c r="E106" i="8"/>
  <c r="E100" i="8"/>
  <c r="E105" i="8"/>
  <c r="E99" i="8"/>
  <c r="E109" i="8"/>
  <c r="E103" i="8"/>
  <c r="E108" i="8"/>
  <c r="E102" i="8"/>
  <c r="E96" i="8"/>
  <c r="E59" i="8"/>
  <c r="E60" i="8"/>
  <c r="E61" i="8"/>
  <c r="E58" i="8"/>
  <c r="E64" i="8"/>
  <c r="E63" i="8"/>
  <c r="E62" i="8"/>
  <c r="E65" i="8"/>
  <c r="E893" i="1"/>
  <c r="C915" i="1" s="1"/>
  <c r="C839" i="1"/>
  <c r="C840" i="1"/>
  <c r="E889" i="1"/>
  <c r="C911" i="1" s="1"/>
  <c r="B839" i="1"/>
  <c r="F849" i="1" s="1"/>
  <c r="G849" i="1" s="1"/>
  <c r="E892" i="1"/>
  <c r="E896" i="1"/>
  <c r="C918" i="1" s="1"/>
  <c r="E890" i="1"/>
  <c r="E894" i="1"/>
  <c r="B840" i="1"/>
  <c r="E891" i="1"/>
  <c r="E895" i="1"/>
  <c r="E845" i="1"/>
  <c r="E848" i="1"/>
  <c r="F848" i="1" s="1"/>
  <c r="G848" i="1" s="1"/>
  <c r="E844" i="1"/>
  <c r="F844" i="1" s="1"/>
  <c r="G844" i="1" s="1"/>
  <c r="E851" i="1"/>
  <c r="F851" i="1" s="1"/>
  <c r="G851" i="1" s="1"/>
  <c r="E847" i="1"/>
  <c r="F847" i="1" s="1"/>
  <c r="G847" i="1" s="1"/>
  <c r="E850" i="1"/>
  <c r="E846" i="1"/>
  <c r="F846" i="1" s="1"/>
  <c r="G846" i="1" s="1"/>
  <c r="E30" i="8"/>
  <c r="E24" i="8"/>
  <c r="E29" i="8"/>
  <c r="E23" i="8"/>
  <c r="E28" i="8"/>
  <c r="E22" i="8"/>
  <c r="E26" i="8"/>
  <c r="E31" i="8"/>
  <c r="E25" i="8"/>
  <c r="E27" i="8"/>
  <c r="D13" i="1"/>
  <c r="E13" i="1" s="1"/>
  <c r="D9" i="1"/>
  <c r="E9" i="1" s="1"/>
  <c r="D8" i="1"/>
  <c r="E8" i="1" s="1"/>
  <c r="I18" i="7"/>
  <c r="E19" i="7"/>
  <c r="E18" i="7"/>
  <c r="D19" i="7"/>
  <c r="C19" i="7"/>
  <c r="A6" i="7"/>
  <c r="B44" i="4"/>
  <c r="B37" i="4"/>
  <c r="V6" i="4"/>
  <c r="W6" i="4"/>
  <c r="V7" i="4"/>
  <c r="W7" i="4"/>
  <c r="V8" i="4"/>
  <c r="W8" i="4"/>
  <c r="V9" i="4"/>
  <c r="W9" i="4"/>
  <c r="V10" i="4"/>
  <c r="W10" i="4"/>
  <c r="V11" i="4"/>
  <c r="W11" i="4"/>
  <c r="V12" i="4"/>
  <c r="W12" i="4"/>
  <c r="V13" i="4"/>
  <c r="W13" i="4"/>
  <c r="V14" i="4"/>
  <c r="W14" i="4"/>
  <c r="V15" i="4"/>
  <c r="W15" i="4"/>
  <c r="V16" i="4"/>
  <c r="W16" i="4"/>
  <c r="W5" i="4"/>
  <c r="V5" i="4"/>
  <c r="B171" i="4"/>
  <c r="B42" i="4"/>
  <c r="B35" i="4"/>
  <c r="D57" i="5"/>
  <c r="C57" i="5"/>
  <c r="E57" i="5"/>
  <c r="E56" i="5"/>
  <c r="I56" i="5"/>
  <c r="F56" i="5"/>
  <c r="A53" i="5"/>
  <c r="A6" i="5"/>
  <c r="A54" i="5"/>
  <c r="C25" i="5"/>
  <c r="C26" i="5"/>
  <c r="C27" i="5"/>
  <c r="C28" i="5"/>
  <c r="C29" i="5"/>
  <c r="C30" i="5"/>
  <c r="C31" i="5"/>
  <c r="C32" i="5"/>
  <c r="C33" i="5"/>
  <c r="C34" i="5"/>
  <c r="C35" i="5"/>
  <c r="C36" i="5"/>
  <c r="C37" i="5"/>
  <c r="C38" i="5"/>
  <c r="C24" i="5"/>
  <c r="C524" i="1"/>
  <c r="G524" i="1"/>
  <c r="C525" i="1"/>
  <c r="G525" i="1"/>
  <c r="A7" i="5"/>
  <c r="E23" i="5"/>
  <c r="D471" i="1"/>
  <c r="D470" i="1"/>
  <c r="D26" i="1"/>
  <c r="F26" i="1"/>
  <c r="E22" i="5"/>
  <c r="I22" i="5"/>
  <c r="D23" i="5"/>
  <c r="C23" i="5"/>
  <c r="E60" i="3"/>
  <c r="E56" i="3"/>
  <c r="D83" i="3"/>
  <c r="D81" i="3"/>
  <c r="D79" i="3"/>
  <c r="D59" i="3"/>
  <c r="D57" i="3"/>
  <c r="D55" i="3"/>
  <c r="J87" i="8"/>
  <c r="J85" i="8"/>
  <c r="J83" i="8"/>
  <c r="J82" i="8"/>
  <c r="J81" i="8"/>
  <c r="J80" i="8"/>
  <c r="J53" i="8"/>
  <c r="J52" i="8"/>
  <c r="D17" i="8"/>
  <c r="D16" i="8"/>
  <c r="C15" i="7"/>
  <c r="C14" i="7"/>
  <c r="J100" i="5"/>
  <c r="J99" i="5"/>
  <c r="J98" i="5"/>
  <c r="J97" i="5"/>
  <c r="F889" i="1" l="1"/>
  <c r="F845" i="1"/>
  <c r="G845" i="1" s="1"/>
  <c r="F891" i="1"/>
  <c r="C913" i="1"/>
  <c r="F892" i="1"/>
  <c r="C914" i="1"/>
  <c r="F893" i="1"/>
  <c r="F896" i="1"/>
  <c r="F894" i="1"/>
  <c r="C916" i="1"/>
  <c r="F890" i="1"/>
  <c r="C912" i="1"/>
  <c r="F895" i="1"/>
  <c r="C917" i="1"/>
  <c r="F850" i="1"/>
  <c r="G850" i="1" s="1"/>
  <c r="B162" i="4"/>
  <c r="C162" i="4" s="1"/>
  <c r="C311" i="4"/>
  <c r="C317" i="4"/>
  <c r="C327" i="4"/>
  <c r="C319" i="4"/>
  <c r="C331" i="4"/>
  <c r="C322" i="4"/>
  <c r="C332" i="4"/>
  <c r="B29" i="4"/>
  <c r="B158" i="4"/>
  <c r="C158" i="4" s="1"/>
  <c r="C321" i="4"/>
  <c r="C334" i="4"/>
  <c r="C313" i="4"/>
  <c r="C325" i="4"/>
  <c r="C335" i="4"/>
  <c r="C315" i="4"/>
  <c r="C328" i="4"/>
  <c r="C338" i="4"/>
  <c r="C316" i="4"/>
  <c r="C323" i="4"/>
  <c r="C329" i="4"/>
  <c r="C337" i="4"/>
  <c r="C312" i="4"/>
  <c r="C318" i="4"/>
  <c r="C324" i="4"/>
  <c r="C330" i="4"/>
  <c r="C336" i="4"/>
  <c r="C314" i="4"/>
  <c r="C320" i="4"/>
  <c r="C326" i="4"/>
  <c r="C333" i="4"/>
  <c r="C339" i="4"/>
  <c r="C160" i="4"/>
  <c r="B161" i="4"/>
  <c r="B159" i="4"/>
  <c r="C147" i="4"/>
  <c r="C119" i="4"/>
  <c r="C125" i="4"/>
  <c r="C131" i="4"/>
  <c r="C139" i="4"/>
  <c r="C145" i="4"/>
  <c r="C126" i="4"/>
  <c r="C132" i="4"/>
  <c r="C138" i="4"/>
  <c r="C144" i="4"/>
  <c r="C121" i="4"/>
  <c r="C127" i="4"/>
  <c r="C133" i="4"/>
  <c r="C137" i="4"/>
  <c r="C143" i="4"/>
  <c r="C124" i="4"/>
  <c r="C129" i="4"/>
  <c r="C140" i="4"/>
  <c r="C142" i="4"/>
  <c r="C120" i="4"/>
  <c r="C122" i="4"/>
  <c r="C128" i="4"/>
  <c r="C134" i="4"/>
  <c r="C136" i="4"/>
  <c r="C146" i="4"/>
  <c r="C123" i="4"/>
  <c r="C130" i="4"/>
  <c r="C141" i="4"/>
  <c r="C135" i="4"/>
  <c r="B28" i="4"/>
  <c r="B13" i="4"/>
  <c r="B7" i="4"/>
  <c r="B23" i="4"/>
  <c r="B5" i="4"/>
  <c r="B12" i="4"/>
  <c r="B17" i="4"/>
  <c r="B22" i="4"/>
  <c r="B33" i="4"/>
  <c r="B6" i="4"/>
  <c r="B11" i="4"/>
  <c r="B27" i="4"/>
  <c r="B21" i="4"/>
  <c r="B32" i="4"/>
  <c r="B16" i="4"/>
  <c r="B10" i="4"/>
  <c r="B26" i="4"/>
  <c r="B20" i="4"/>
  <c r="B31" i="4"/>
  <c r="B15" i="4"/>
  <c r="B9" i="4"/>
  <c r="B25" i="4"/>
  <c r="B19" i="4"/>
  <c r="B30" i="4"/>
  <c r="B14" i="4"/>
  <c r="B8" i="4"/>
  <c r="B24" i="4"/>
  <c r="B18" i="4"/>
  <c r="B172" i="4"/>
  <c r="B43" i="4"/>
  <c r="B36" i="4"/>
  <c r="E38" i="5"/>
  <c r="E28" i="5"/>
  <c r="E26" i="5"/>
  <c r="E36" i="5"/>
  <c r="E34" i="5"/>
  <c r="E32" i="5"/>
  <c r="E30" i="5"/>
  <c r="E37" i="5"/>
  <c r="E29" i="5"/>
  <c r="E35" i="5"/>
  <c r="E27" i="5"/>
  <c r="E33" i="5"/>
  <c r="E25" i="5"/>
  <c r="E24" i="5"/>
  <c r="E31" i="5"/>
  <c r="J16" i="5"/>
  <c r="J14" i="5"/>
  <c r="J13" i="5"/>
  <c r="J12" i="5"/>
  <c r="J11" i="5"/>
  <c r="I84" i="3"/>
  <c r="I82" i="3"/>
  <c r="I80" i="3"/>
  <c r="C79" i="3"/>
  <c r="E84" i="3"/>
  <c r="C83" i="3"/>
  <c r="E82" i="3"/>
  <c r="C81" i="3"/>
  <c r="E80" i="3"/>
  <c r="I59" i="3"/>
  <c r="I60" i="3"/>
  <c r="I57" i="3"/>
  <c r="I58" i="3"/>
  <c r="I56" i="3"/>
  <c r="C59" i="3"/>
  <c r="F60" i="3" s="1"/>
  <c r="C57" i="3"/>
  <c r="C55" i="3"/>
  <c r="E57" i="3"/>
  <c r="C115" i="8"/>
  <c r="C114" i="8"/>
  <c r="C113" i="8"/>
  <c r="C112" i="8"/>
  <c r="C111" i="8"/>
  <c r="A111" i="8"/>
  <c r="A109" i="8"/>
  <c r="A108" i="8"/>
  <c r="A107" i="8"/>
  <c r="A106" i="8"/>
  <c r="A105" i="8"/>
  <c r="A104" i="8"/>
  <c r="A103" i="8"/>
  <c r="A102" i="8"/>
  <c r="A101" i="8"/>
  <c r="A100" i="8"/>
  <c r="A99" i="8"/>
  <c r="A98" i="8"/>
  <c r="A97" i="8"/>
  <c r="A96" i="8"/>
  <c r="A95" i="8"/>
  <c r="J93" i="8"/>
  <c r="F93" i="8"/>
  <c r="C93" i="8"/>
  <c r="B93" i="8"/>
  <c r="A93" i="8"/>
  <c r="E91" i="8"/>
  <c r="A91" i="8"/>
  <c r="D77" i="8"/>
  <c r="D76" i="8"/>
  <c r="A76" i="8"/>
  <c r="A75" i="8"/>
  <c r="A73" i="8"/>
  <c r="A68" i="8"/>
  <c r="A65" i="8"/>
  <c r="A64" i="8"/>
  <c r="A63" i="8"/>
  <c r="A62" i="8"/>
  <c r="A61" i="8"/>
  <c r="A60" i="8"/>
  <c r="A59" i="8"/>
  <c r="A58" i="8"/>
  <c r="F56" i="8"/>
  <c r="C56" i="8"/>
  <c r="J56" i="8"/>
  <c r="B56" i="8"/>
  <c r="A56" i="8"/>
  <c r="D54" i="8"/>
  <c r="A54" i="8"/>
  <c r="D41" i="8"/>
  <c r="D40" i="8"/>
  <c r="A40" i="8"/>
  <c r="A39" i="8"/>
  <c r="A37" i="8"/>
  <c r="Y29" i="1"/>
  <c r="Y28" i="1"/>
  <c r="Y27" i="1"/>
  <c r="G7" i="8" s="1"/>
  <c r="Z18" i="1"/>
  <c r="Z17" i="1"/>
  <c r="Z16" i="1"/>
  <c r="Z15" i="1"/>
  <c r="Z14" i="1"/>
  <c r="Z13" i="1"/>
  <c r="Z12" i="1"/>
  <c r="Z11" i="1"/>
  <c r="Z10" i="1"/>
  <c r="G40" i="8" s="1"/>
  <c r="Z9" i="1"/>
  <c r="Z8" i="1"/>
  <c r="Z7" i="1"/>
  <c r="A33" i="8"/>
  <c r="A31" i="8"/>
  <c r="A30" i="8"/>
  <c r="A29" i="8"/>
  <c r="A28" i="8"/>
  <c r="A27" i="8"/>
  <c r="A26" i="8"/>
  <c r="A25" i="8"/>
  <c r="A24" i="8"/>
  <c r="A23" i="8"/>
  <c r="A22" i="8"/>
  <c r="F20" i="8"/>
  <c r="J20" i="8"/>
  <c r="C20" i="8"/>
  <c r="B20" i="8"/>
  <c r="A20" i="8"/>
  <c r="A18" i="8"/>
  <c r="D7" i="8"/>
  <c r="D6" i="8"/>
  <c r="A6" i="8"/>
  <c r="A5" i="8"/>
  <c r="A4" i="8"/>
  <c r="A1" i="8"/>
  <c r="X29" i="1"/>
  <c r="X28" i="1"/>
  <c r="X27" i="1"/>
  <c r="G6" i="7" s="1"/>
  <c r="X18" i="1"/>
  <c r="X17" i="1"/>
  <c r="Y18" i="1"/>
  <c r="Y17" i="1"/>
  <c r="Y16" i="1"/>
  <c r="Y15" i="1"/>
  <c r="Y14" i="1"/>
  <c r="Y13" i="1"/>
  <c r="Y12" i="1"/>
  <c r="Y11" i="1"/>
  <c r="Y10" i="1"/>
  <c r="Y9" i="1"/>
  <c r="Y8" i="1"/>
  <c r="Y7" i="1"/>
  <c r="A28" i="7"/>
  <c r="A26" i="7"/>
  <c r="A25" i="7"/>
  <c r="A24" i="7"/>
  <c r="A23" i="7"/>
  <c r="A22" i="7"/>
  <c r="A21" i="7"/>
  <c r="A20" i="7"/>
  <c r="F18" i="7"/>
  <c r="J18" i="7"/>
  <c r="C18" i="7"/>
  <c r="B18" i="7"/>
  <c r="A18" i="7"/>
  <c r="D6" i="7"/>
  <c r="A16" i="7"/>
  <c r="D5" i="7"/>
  <c r="A5" i="7"/>
  <c r="A1" i="7"/>
  <c r="F57" i="3" l="1"/>
  <c r="F80" i="3"/>
  <c r="C69" i="5"/>
  <c r="E69" i="5" s="1"/>
  <c r="C68" i="5"/>
  <c r="E68" i="5" s="1"/>
  <c r="C60" i="5"/>
  <c r="E60" i="5" s="1"/>
  <c r="C82" i="5"/>
  <c r="E82" i="5" s="1"/>
  <c r="C81" i="5"/>
  <c r="E81" i="5" s="1"/>
  <c r="C84" i="5"/>
  <c r="E84" i="5" s="1"/>
  <c r="C83" i="5"/>
  <c r="E83" i="5" s="1"/>
  <c r="C63" i="5"/>
  <c r="E63" i="5" s="1"/>
  <c r="C62" i="5"/>
  <c r="E62" i="5" s="1"/>
  <c r="C67" i="5"/>
  <c r="E67" i="5" s="1"/>
  <c r="C159" i="4"/>
  <c r="C76" i="5"/>
  <c r="E76" i="5" s="1"/>
  <c r="C72" i="5"/>
  <c r="E72" i="5" s="1"/>
  <c r="C74" i="5"/>
  <c r="E74" i="5" s="1"/>
  <c r="C71" i="5"/>
  <c r="E71" i="5" s="1"/>
  <c r="C77" i="5"/>
  <c r="E77" i="5" s="1"/>
  <c r="C73" i="5"/>
  <c r="E73" i="5" s="1"/>
  <c r="C78" i="5"/>
  <c r="E78" i="5" s="1"/>
  <c r="C79" i="5"/>
  <c r="E79" i="5" s="1"/>
  <c r="C75" i="5"/>
  <c r="E75" i="5" s="1"/>
  <c r="C70" i="5"/>
  <c r="E70" i="5" s="1"/>
  <c r="C80" i="5"/>
  <c r="E80" i="5" s="1"/>
  <c r="C161" i="4"/>
  <c r="C86" i="5"/>
  <c r="E86" i="5" s="1"/>
  <c r="C85" i="5"/>
  <c r="E85" i="5" s="1"/>
  <c r="C64" i="5"/>
  <c r="E64" i="5" s="1"/>
  <c r="C61" i="5"/>
  <c r="E61" i="5" s="1"/>
  <c r="C65" i="5"/>
  <c r="E65" i="5" s="1"/>
  <c r="C58" i="5"/>
  <c r="E58" i="5" s="1"/>
  <c r="C59" i="5"/>
  <c r="E59" i="5" s="1"/>
  <c r="C66" i="5"/>
  <c r="E66" i="5" s="1"/>
  <c r="J53" i="4"/>
  <c r="J86" i="4"/>
  <c r="J181" i="4"/>
  <c r="J246" i="4"/>
  <c r="G77" i="8"/>
  <c r="G76" i="8"/>
  <c r="E79" i="3"/>
  <c r="F79" i="3" s="1"/>
  <c r="E59" i="3"/>
  <c r="F59" i="3" s="1"/>
  <c r="F82" i="3"/>
  <c r="F84" i="3"/>
  <c r="E81" i="3"/>
  <c r="F81" i="3" s="1"/>
  <c r="E83" i="3"/>
  <c r="F83" i="3" s="1"/>
  <c r="E58" i="3"/>
  <c r="F58" i="3" s="1"/>
  <c r="G6" i="8"/>
  <c r="G41" i="8"/>
  <c r="G5" i="7"/>
  <c r="G5" i="4" l="1"/>
  <c r="G55" i="5"/>
  <c r="G94" i="5"/>
  <c r="W685" i="1"/>
  <c r="W684" i="1"/>
  <c r="W683" i="1"/>
  <c r="W682" i="1"/>
  <c r="W681" i="1"/>
  <c r="W680" i="1"/>
  <c r="W679" i="1"/>
  <c r="W678" i="1"/>
  <c r="A131" i="5"/>
  <c r="B129" i="5"/>
  <c r="A129" i="5"/>
  <c r="A127" i="5"/>
  <c r="A126" i="5"/>
  <c r="A125" i="5"/>
  <c r="A124" i="5"/>
  <c r="A123" i="5"/>
  <c r="A122" i="5"/>
  <c r="A121" i="5"/>
  <c r="A120" i="5"/>
  <c r="A119" i="5"/>
  <c r="A118" i="5"/>
  <c r="A117" i="5"/>
  <c r="A116" i="5"/>
  <c r="A115" i="5"/>
  <c r="A114" i="5"/>
  <c r="A113" i="5"/>
  <c r="D112" i="5"/>
  <c r="C112" i="5"/>
  <c r="I110" i="5"/>
  <c r="J111" i="5"/>
  <c r="G111" i="5"/>
  <c r="D111" i="5"/>
  <c r="I111" i="5"/>
  <c r="E111" i="5"/>
  <c r="C111" i="5"/>
  <c r="E110" i="5"/>
  <c r="G110" i="5"/>
  <c r="C110" i="5"/>
  <c r="A111" i="5"/>
  <c r="A110" i="5"/>
  <c r="A23" i="5"/>
  <c r="E108" i="5"/>
  <c r="C108" i="5"/>
  <c r="A108" i="5"/>
  <c r="D94" i="5"/>
  <c r="D93" i="5"/>
  <c r="A94" i="5"/>
  <c r="A93" i="5"/>
  <c r="C92" i="5"/>
  <c r="A92" i="5"/>
  <c r="A4" i="5"/>
  <c r="A90" i="5"/>
  <c r="B88" i="5"/>
  <c r="A88" i="5"/>
  <c r="B40" i="5"/>
  <c r="A40"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F22" i="5"/>
  <c r="J56" i="5"/>
  <c r="C56" i="5"/>
  <c r="C22" i="5"/>
  <c r="B56" i="5"/>
  <c r="B22" i="5"/>
  <c r="A56" i="5"/>
  <c r="A22" i="5"/>
  <c r="D53" i="5"/>
  <c r="D52" i="5"/>
  <c r="D6" i="5"/>
  <c r="D5" i="5"/>
  <c r="A52" i="5"/>
  <c r="A5" i="5"/>
  <c r="A51" i="5"/>
  <c r="A49" i="5"/>
  <c r="W29" i="1"/>
  <c r="W28" i="1"/>
  <c r="W27" i="1"/>
  <c r="X16" i="1"/>
  <c r="X15" i="1"/>
  <c r="X14" i="1"/>
  <c r="X13" i="1"/>
  <c r="X12" i="1"/>
  <c r="X11" i="1"/>
  <c r="X10" i="1"/>
  <c r="X9" i="1"/>
  <c r="X8" i="1"/>
  <c r="X7" i="1"/>
  <c r="D45" i="5"/>
  <c r="D44" i="5"/>
  <c r="D43" i="5"/>
  <c r="A43" i="5"/>
  <c r="A38" i="5"/>
  <c r="A37" i="5"/>
  <c r="A36" i="5"/>
  <c r="A35" i="5"/>
  <c r="A34" i="5"/>
  <c r="A33" i="5"/>
  <c r="A32" i="5"/>
  <c r="A31" i="5"/>
  <c r="A30" i="5"/>
  <c r="A29" i="5"/>
  <c r="A28" i="5"/>
  <c r="A27" i="5"/>
  <c r="A26" i="5"/>
  <c r="A25" i="5"/>
  <c r="A24" i="5"/>
  <c r="J22" i="5"/>
  <c r="F20" i="5"/>
  <c r="C20" i="5"/>
  <c r="A20" i="5"/>
  <c r="G93" i="5" l="1"/>
  <c r="G53" i="5"/>
  <c r="A1" i="5" l="1"/>
  <c r="F5" i="4" l="1"/>
  <c r="D160" i="4" l="1"/>
  <c r="E160" i="4" s="1"/>
  <c r="D11" i="1"/>
  <c r="E11" i="1" s="1"/>
  <c r="G67" i="1"/>
  <c r="G66" i="1"/>
  <c r="G65" i="1"/>
  <c r="G64" i="1"/>
  <c r="F65" i="1"/>
  <c r="F66" i="1"/>
  <c r="F67" i="1"/>
  <c r="F64" i="1"/>
  <c r="B68" i="1"/>
  <c r="B69" i="1" s="1"/>
  <c r="J63" i="1" s="1"/>
  <c r="G62" i="1"/>
  <c r="G63" i="1"/>
  <c r="G61" i="1"/>
  <c r="G60" i="1"/>
  <c r="F61" i="1"/>
  <c r="F62" i="1"/>
  <c r="F63" i="1"/>
  <c r="F60" i="1"/>
  <c r="D67" i="1"/>
  <c r="D65" i="1"/>
  <c r="D66" i="1"/>
  <c r="D64" i="1"/>
  <c r="D63" i="1"/>
  <c r="D62" i="1"/>
  <c r="D61" i="1"/>
  <c r="D60" i="1"/>
  <c r="K31" i="4"/>
  <c r="D31" i="4"/>
  <c r="K30" i="4"/>
  <c r="D30" i="4"/>
  <c r="K29" i="4"/>
  <c r="D29" i="4"/>
  <c r="K28" i="4"/>
  <c r="D28" i="4"/>
  <c r="D258" i="1"/>
  <c r="D256" i="1"/>
  <c r="D253" i="1"/>
  <c r="D250" i="1"/>
  <c r="D236" i="1"/>
  <c r="D234" i="1"/>
  <c r="D231" i="1"/>
  <c r="D228" i="1"/>
  <c r="I62" i="1" l="1"/>
  <c r="J62" i="1"/>
  <c r="I61" i="1"/>
  <c r="J61" i="1"/>
  <c r="I65" i="1"/>
  <c r="L65" i="1" s="1"/>
  <c r="I60" i="1"/>
  <c r="L60" i="1" s="1"/>
  <c r="J60" i="1"/>
  <c r="J66" i="1"/>
  <c r="I67" i="1"/>
  <c r="L67" i="1" s="1"/>
  <c r="I66" i="1"/>
  <c r="L66" i="1" s="1"/>
  <c r="J64" i="1"/>
  <c r="I64" i="1"/>
  <c r="L64" i="1" s="1"/>
  <c r="J67" i="1"/>
  <c r="J65" i="1"/>
  <c r="I63" i="1"/>
  <c r="L63" i="1" s="1"/>
  <c r="L61" i="1" l="1"/>
  <c r="L62" i="1"/>
  <c r="S67" i="1"/>
  <c r="Q67" i="1"/>
  <c r="T67" i="1"/>
  <c r="P67" i="1"/>
  <c r="R67" i="1"/>
  <c r="D995" i="1"/>
  <c r="B988" i="1"/>
  <c r="E969" i="1" s="1"/>
  <c r="F969" i="1" s="1"/>
  <c r="B1004" i="1" s="1"/>
  <c r="B360" i="1"/>
  <c r="E383" i="1" s="1"/>
  <c r="E960" i="1" l="1"/>
  <c r="F960" i="1" s="1"/>
  <c r="B995" i="1" s="1"/>
  <c r="E995" i="1" s="1"/>
  <c r="F995" i="1" s="1"/>
  <c r="E970" i="1"/>
  <c r="F970" i="1" s="1"/>
  <c r="B1005" i="1" s="1"/>
  <c r="E370" i="1"/>
  <c r="F370" i="1" s="1"/>
  <c r="B400" i="1" s="1"/>
  <c r="E962" i="1"/>
  <c r="F962" i="1" s="1"/>
  <c r="B997" i="1" s="1"/>
  <c r="E376" i="1"/>
  <c r="F376" i="1" s="1"/>
  <c r="B406" i="1" s="1"/>
  <c r="E369" i="1"/>
  <c r="F369" i="1" s="1"/>
  <c r="B399" i="1" s="1"/>
  <c r="E375" i="1"/>
  <c r="F375" i="1" s="1"/>
  <c r="B405" i="1" s="1"/>
  <c r="E386" i="1"/>
  <c r="G386" i="1"/>
  <c r="E961" i="1"/>
  <c r="F961" i="1" s="1"/>
  <c r="B996" i="1" s="1"/>
  <c r="G978" i="1"/>
  <c r="E978" i="1"/>
  <c r="G383" i="1"/>
  <c r="H383" i="1" s="1"/>
  <c r="X712" i="1"/>
  <c r="K712" i="1"/>
  <c r="H712" i="1" s="1"/>
  <c r="D693" i="1"/>
  <c r="E167" i="3"/>
  <c r="E169" i="3"/>
  <c r="E170" i="3"/>
  <c r="E172" i="3"/>
  <c r="E173" i="3"/>
  <c r="E166" i="3"/>
  <c r="E399" i="1" l="1"/>
  <c r="E400" i="1"/>
  <c r="F400" i="1" s="1"/>
  <c r="H978" i="1"/>
  <c r="H386" i="1"/>
  <c r="J750" i="1"/>
  <c r="D906" i="1"/>
  <c r="D904" i="1"/>
  <c r="D899" i="1"/>
  <c r="D901" i="1"/>
  <c r="D902" i="1"/>
  <c r="D898" i="1"/>
  <c r="D861" i="1"/>
  <c r="D859" i="1"/>
  <c r="D856" i="1"/>
  <c r="D857" i="1"/>
  <c r="D854" i="1"/>
  <c r="D853" i="1"/>
  <c r="D559" i="1"/>
  <c r="D558" i="1"/>
  <c r="D556" i="1"/>
  <c r="D557" i="1"/>
  <c r="D555" i="1"/>
  <c r="D554" i="1"/>
  <c r="D577" i="1"/>
  <c r="D576" i="1"/>
  <c r="D573" i="1"/>
  <c r="D574" i="1"/>
  <c r="D575" i="1"/>
  <c r="D572" i="1"/>
  <c r="D237" i="1"/>
  <c r="D235" i="1"/>
  <c r="D232" i="1"/>
  <c r="D233" i="1"/>
  <c r="D230" i="1"/>
  <c r="D229" i="1"/>
  <c r="D252" i="1"/>
  <c r="D254" i="1"/>
  <c r="D255" i="1"/>
  <c r="D251" i="1"/>
  <c r="D259" i="1"/>
  <c r="D257" i="1"/>
  <c r="F52" i="1"/>
  <c r="F50" i="1"/>
  <c r="E73" i="3"/>
  <c r="E74" i="3"/>
  <c r="E75" i="3"/>
  <c r="E76" i="3"/>
  <c r="E77" i="3"/>
  <c r="I79" i="3"/>
  <c r="I81" i="3"/>
  <c r="I83" i="3"/>
  <c r="E72" i="3"/>
  <c r="H15" i="3"/>
  <c r="H17" i="3"/>
  <c r="H18" i="3"/>
  <c r="H20" i="3"/>
  <c r="H21" i="3"/>
  <c r="E405" i="1" l="1"/>
  <c r="F405" i="1" s="1"/>
  <c r="E406" i="1"/>
  <c r="F406" i="1" s="1"/>
  <c r="D996" i="1"/>
  <c r="E996" i="1" s="1"/>
  <c r="F996" i="1" s="1"/>
  <c r="D997" i="1"/>
  <c r="E997" i="1" s="1"/>
  <c r="F997" i="1" s="1"/>
  <c r="D156" i="1"/>
  <c r="D333" i="1" l="1"/>
  <c r="D331" i="1"/>
  <c r="D329" i="1"/>
  <c r="D327" i="1"/>
  <c r="I313" i="1"/>
  <c r="D313" i="1"/>
  <c r="I311" i="1"/>
  <c r="D311" i="1"/>
  <c r="I308" i="1"/>
  <c r="I306" i="1"/>
  <c r="I309" i="1"/>
  <c r="D309" i="1"/>
  <c r="I307" i="1"/>
  <c r="D307" i="1"/>
  <c r="D332" i="1"/>
  <c r="D330" i="1"/>
  <c r="D328" i="1"/>
  <c r="D326" i="1"/>
  <c r="I325" i="1"/>
  <c r="J325" i="1" s="1"/>
  <c r="I324" i="1"/>
  <c r="J324" i="1" s="1"/>
  <c r="I323" i="1"/>
  <c r="J323" i="1" s="1"/>
  <c r="I322" i="1"/>
  <c r="J322" i="1" s="1"/>
  <c r="I321" i="1"/>
  <c r="J321" i="1" s="1"/>
  <c r="I320" i="1"/>
  <c r="J320" i="1" s="1"/>
  <c r="K320" i="1" s="1"/>
  <c r="I319" i="1"/>
  <c r="I318" i="1"/>
  <c r="J318" i="1" s="1"/>
  <c r="K318" i="1" s="1"/>
  <c r="D312" i="1"/>
  <c r="D310" i="1"/>
  <c r="D308" i="1"/>
  <c r="D306" i="1"/>
  <c r="J305" i="1"/>
  <c r="J304" i="1"/>
  <c r="J303" i="1"/>
  <c r="J302" i="1"/>
  <c r="J301" i="1"/>
  <c r="K301" i="1" s="1"/>
  <c r="J300" i="1"/>
  <c r="K300" i="1" s="1"/>
  <c r="J299" i="1"/>
  <c r="K299" i="1" s="1"/>
  <c r="J298" i="1"/>
  <c r="K298" i="1" s="1"/>
  <c r="B287" i="1"/>
  <c r="B288" i="1" s="1"/>
  <c r="D325" i="1"/>
  <c r="E325" i="1" s="1"/>
  <c r="D324" i="1"/>
  <c r="E324" i="1" s="1"/>
  <c r="D323" i="1"/>
  <c r="D322" i="1"/>
  <c r="E322" i="1" s="1"/>
  <c r="D321" i="1"/>
  <c r="E321" i="1" s="1"/>
  <c r="F321" i="1" s="1"/>
  <c r="D320" i="1"/>
  <c r="D319" i="1"/>
  <c r="E319" i="1" s="1"/>
  <c r="D318" i="1"/>
  <c r="E318" i="1" s="1"/>
  <c r="F318" i="1" s="1"/>
  <c r="E305" i="1"/>
  <c r="E304" i="1"/>
  <c r="E303" i="1"/>
  <c r="E302" i="1"/>
  <c r="E301" i="1"/>
  <c r="F301" i="1" s="1"/>
  <c r="E300" i="1"/>
  <c r="F300" i="1" s="1"/>
  <c r="E299" i="1"/>
  <c r="F299" i="1" s="1"/>
  <c r="E298" i="1"/>
  <c r="F298" i="1" s="1"/>
  <c r="J307" i="1" l="1"/>
  <c r="F319" i="1"/>
  <c r="J327" i="1"/>
  <c r="J331" i="1"/>
  <c r="J333" i="1"/>
  <c r="J329" i="1"/>
  <c r="E331" i="1"/>
  <c r="E333" i="1"/>
  <c r="E329" i="1"/>
  <c r="E327" i="1"/>
  <c r="J311" i="1"/>
  <c r="J313" i="1"/>
  <c r="J309" i="1"/>
  <c r="E313" i="1"/>
  <c r="E311" i="1"/>
  <c r="E309" i="1"/>
  <c r="E307" i="1"/>
  <c r="E308" i="1"/>
  <c r="J328" i="1"/>
  <c r="J306" i="1"/>
  <c r="E332" i="1"/>
  <c r="B292" i="1"/>
  <c r="J326" i="1"/>
  <c r="E326" i="1"/>
  <c r="C291" i="1"/>
  <c r="B291" i="1"/>
  <c r="J312" i="1"/>
  <c r="E310" i="1"/>
  <c r="J332" i="1"/>
  <c r="J310" i="1"/>
  <c r="E328" i="1"/>
  <c r="E306" i="1"/>
  <c r="J330" i="1"/>
  <c r="J308" i="1"/>
  <c r="E330" i="1"/>
  <c r="C292" i="1"/>
  <c r="E312" i="1"/>
  <c r="J319" i="1"/>
  <c r="K319" i="1" s="1"/>
  <c r="L318" i="1"/>
  <c r="E338" i="1" s="1"/>
  <c r="K321" i="1"/>
  <c r="L321" i="1" s="1"/>
  <c r="E341" i="1" s="1"/>
  <c r="L300" i="1"/>
  <c r="B340" i="1" s="1"/>
  <c r="F340" i="1" s="1"/>
  <c r="L299" i="1"/>
  <c r="B339" i="1" s="1"/>
  <c r="F339" i="1" s="1"/>
  <c r="L301" i="1"/>
  <c r="B341" i="1" s="1"/>
  <c r="F341" i="1" s="1"/>
  <c r="L298" i="1"/>
  <c r="B338" i="1" s="1"/>
  <c r="F338" i="1" s="1"/>
  <c r="E320" i="1"/>
  <c r="F320" i="1" s="1"/>
  <c r="L320" i="1" s="1"/>
  <c r="E340" i="1" s="1"/>
  <c r="E323" i="1"/>
  <c r="K307" i="1" l="1"/>
  <c r="L319" i="1"/>
  <c r="E339" i="1" s="1"/>
  <c r="P339" i="1" s="1"/>
  <c r="K331" i="1"/>
  <c r="K327" i="1"/>
  <c r="Q338" i="1"/>
  <c r="S338" i="1"/>
  <c r="P338" i="1"/>
  <c r="F333" i="1"/>
  <c r="F327" i="1"/>
  <c r="F329" i="1"/>
  <c r="K333" i="1"/>
  <c r="K329" i="1"/>
  <c r="F308" i="1"/>
  <c r="F306" i="1"/>
  <c r="K306" i="1"/>
  <c r="F331" i="1"/>
  <c r="K312" i="1"/>
  <c r="F311" i="1"/>
  <c r="F330" i="1"/>
  <c r="K332" i="1"/>
  <c r="F313" i="1"/>
  <c r="K309" i="1"/>
  <c r="K313" i="1"/>
  <c r="K326" i="1"/>
  <c r="F307" i="1"/>
  <c r="L307" i="1" s="1"/>
  <c r="B347" i="1" s="1"/>
  <c r="K311" i="1"/>
  <c r="K308" i="1"/>
  <c r="F309" i="1"/>
  <c r="F328" i="1"/>
  <c r="F310" i="1"/>
  <c r="F332" i="1"/>
  <c r="F312" i="1"/>
  <c r="K328" i="1"/>
  <c r="K330" i="1"/>
  <c r="K310" i="1"/>
  <c r="F326" i="1"/>
  <c r="Q341" i="1"/>
  <c r="S341" i="1"/>
  <c r="P341" i="1"/>
  <c r="R341" i="1"/>
  <c r="R338" i="1"/>
  <c r="T341" i="1"/>
  <c r="T338" i="1"/>
  <c r="P340" i="1"/>
  <c r="T340" i="1"/>
  <c r="S340" i="1"/>
  <c r="R340" i="1"/>
  <c r="Q340" i="1"/>
  <c r="S339" i="1" l="1"/>
  <c r="L331" i="1"/>
  <c r="E351" i="1" s="1"/>
  <c r="Q339" i="1"/>
  <c r="T339" i="1"/>
  <c r="R339" i="1"/>
  <c r="L327" i="1"/>
  <c r="E347" i="1" s="1"/>
  <c r="T347" i="1" s="1"/>
  <c r="L333" i="1"/>
  <c r="E353" i="1" s="1"/>
  <c r="L306" i="1"/>
  <c r="B346" i="1" s="1"/>
  <c r="L329" i="1"/>
  <c r="E349" i="1" s="1"/>
  <c r="L308" i="1"/>
  <c r="B348" i="1" s="1"/>
  <c r="L312" i="1"/>
  <c r="B352" i="1" s="1"/>
  <c r="L328" i="1"/>
  <c r="E348" i="1" s="1"/>
  <c r="L332" i="1"/>
  <c r="E352" i="1" s="1"/>
  <c r="L311" i="1"/>
  <c r="B351" i="1" s="1"/>
  <c r="L330" i="1"/>
  <c r="E350" i="1" s="1"/>
  <c r="L309" i="1"/>
  <c r="B349" i="1" s="1"/>
  <c r="L326" i="1"/>
  <c r="E346" i="1" s="1"/>
  <c r="L310" i="1"/>
  <c r="B350" i="1" s="1"/>
  <c r="L313" i="1"/>
  <c r="B353" i="1" s="1"/>
  <c r="S347" i="1" l="1"/>
  <c r="P347" i="1"/>
  <c r="R347" i="1"/>
  <c r="Q347" i="1"/>
  <c r="F347" i="1"/>
  <c r="D59" i="8" s="1"/>
  <c r="F346" i="1"/>
  <c r="D58" i="8" s="1"/>
  <c r="F353" i="1"/>
  <c r="D65" i="8" s="1"/>
  <c r="Q353" i="1"/>
  <c r="P353" i="1"/>
  <c r="R353" i="1"/>
  <c r="S353" i="1"/>
  <c r="T353" i="1"/>
  <c r="T352" i="1"/>
  <c r="P352" i="1"/>
  <c r="Q352" i="1"/>
  <c r="R352" i="1"/>
  <c r="S352" i="1"/>
  <c r="F352" i="1"/>
  <c r="D64" i="8" s="1"/>
  <c r="S351" i="1"/>
  <c r="P351" i="1"/>
  <c r="T351" i="1"/>
  <c r="Q351" i="1"/>
  <c r="F351" i="1"/>
  <c r="D63" i="8" s="1"/>
  <c r="R351" i="1"/>
  <c r="R350" i="1"/>
  <c r="F350" i="1"/>
  <c r="D62" i="8" s="1"/>
  <c r="S350" i="1"/>
  <c r="T350" i="1"/>
  <c r="P350" i="1"/>
  <c r="Q350" i="1"/>
  <c r="Q349" i="1"/>
  <c r="S349" i="1"/>
  <c r="R349" i="1"/>
  <c r="F349" i="1"/>
  <c r="D61" i="8" s="1"/>
  <c r="T349" i="1"/>
  <c r="P349" i="1"/>
  <c r="P348" i="1"/>
  <c r="R348" i="1"/>
  <c r="S348" i="1"/>
  <c r="Q348" i="1"/>
  <c r="F348" i="1"/>
  <c r="D60" i="8" s="1"/>
  <c r="T348" i="1"/>
  <c r="P346" i="1"/>
  <c r="T346" i="1"/>
  <c r="R346" i="1"/>
  <c r="Q346" i="1"/>
  <c r="S346" i="1"/>
  <c r="G64" i="8" l="1"/>
  <c r="H64" i="8"/>
  <c r="F64" i="8"/>
  <c r="J64" i="8"/>
  <c r="K64" i="8"/>
  <c r="I64" i="8"/>
  <c r="J58" i="8"/>
  <c r="H58" i="8"/>
  <c r="F58" i="8"/>
  <c r="I58" i="8"/>
  <c r="K58" i="8"/>
  <c r="G58" i="8"/>
  <c r="G63" i="8"/>
  <c r="H63" i="8"/>
  <c r="I63" i="8"/>
  <c r="J63" i="8"/>
  <c r="F63" i="8"/>
  <c r="K63" i="8"/>
  <c r="I59" i="8"/>
  <c r="K59" i="8"/>
  <c r="J59" i="8"/>
  <c r="H59" i="8"/>
  <c r="F59" i="8"/>
  <c r="G59" i="8"/>
  <c r="K60" i="8"/>
  <c r="H60" i="8"/>
  <c r="G60" i="8"/>
  <c r="J60" i="8"/>
  <c r="I60" i="8"/>
  <c r="F60" i="8"/>
  <c r="K61" i="8"/>
  <c r="G61" i="8"/>
  <c r="I61" i="8"/>
  <c r="H61" i="8"/>
  <c r="F61" i="8"/>
  <c r="J61" i="8"/>
  <c r="F62" i="8"/>
  <c r="K62" i="8"/>
  <c r="H62" i="8"/>
  <c r="G62" i="8"/>
  <c r="J62" i="8"/>
  <c r="I62" i="8"/>
  <c r="F65" i="8"/>
  <c r="J65" i="8"/>
  <c r="G65" i="8"/>
  <c r="I65" i="8"/>
  <c r="H65" i="8"/>
  <c r="K65" i="8"/>
  <c r="K57" i="5"/>
  <c r="K713" i="1"/>
  <c r="H713" i="1" s="1"/>
  <c r="X713" i="1"/>
  <c r="D694" i="1"/>
  <c r="D157" i="1"/>
  <c r="F27" i="1"/>
  <c r="D27" i="1"/>
  <c r="E69" i="3"/>
  <c r="E66" i="3"/>
  <c r="I55" i="3"/>
  <c r="E51" i="3"/>
  <c r="E48" i="3"/>
  <c r="E45" i="3"/>
  <c r="E42" i="3"/>
  <c r="G52" i="5"/>
  <c r="J751" i="1" l="1"/>
  <c r="G52" i="1" l="1"/>
  <c r="G50" i="1"/>
  <c r="G48" i="1"/>
  <c r="G47" i="1"/>
  <c r="G45" i="1"/>
  <c r="G44" i="1"/>
  <c r="E134" i="3"/>
  <c r="E133" i="3"/>
  <c r="E131" i="3"/>
  <c r="E130" i="3"/>
  <c r="E128" i="3"/>
  <c r="E127" i="3"/>
  <c r="E125" i="3"/>
  <c r="E122" i="3"/>
  <c r="E121" i="3"/>
  <c r="E53" i="3"/>
  <c r="E52" i="3"/>
  <c r="E50" i="3"/>
  <c r="E49" i="3"/>
  <c r="E47" i="3"/>
  <c r="E46" i="3"/>
  <c r="E44" i="3"/>
  <c r="E43" i="3"/>
  <c r="I21" i="3"/>
  <c r="I20" i="3"/>
  <c r="I18" i="3"/>
  <c r="I17" i="3"/>
  <c r="I15" i="3"/>
  <c r="I12" i="3"/>
  <c r="I11" i="3"/>
  <c r="I9" i="3"/>
  <c r="I8" i="3"/>
  <c r="E22" i="7" l="1"/>
  <c r="D12" i="1"/>
  <c r="E12" i="1" s="1"/>
  <c r="E25" i="7" s="1"/>
  <c r="D10" i="1"/>
  <c r="E10" i="1" s="1"/>
  <c r="J33" i="3" l="1"/>
  <c r="J36" i="3" s="1"/>
  <c r="K33" i="3"/>
  <c r="K36" i="3" s="1"/>
  <c r="I33" i="3"/>
  <c r="I36" i="3" s="1"/>
  <c r="J32" i="3"/>
  <c r="J35" i="3" s="1"/>
  <c r="K32" i="3"/>
  <c r="K35" i="3" s="1"/>
  <c r="I32" i="3"/>
  <c r="I35" i="3" s="1"/>
  <c r="B828" i="1" l="1"/>
  <c r="B631" i="1"/>
  <c r="B536" i="1"/>
  <c r="B419" i="1"/>
  <c r="B90" i="1"/>
  <c r="E903" i="1" l="1"/>
  <c r="C925" i="1" s="1"/>
  <c r="E905" i="1"/>
  <c r="C927" i="1" s="1"/>
  <c r="E897" i="1"/>
  <c r="C919" i="1" s="1"/>
  <c r="E900" i="1"/>
  <c r="C922" i="1" s="1"/>
  <c r="E860" i="1"/>
  <c r="E852" i="1"/>
  <c r="E855" i="1"/>
  <c r="E858" i="1"/>
  <c r="D654" i="1"/>
  <c r="D657" i="1"/>
  <c r="D641" i="1"/>
  <c r="D644" i="1"/>
  <c r="F86" i="1"/>
  <c r="J84" i="1"/>
  <c r="F78" i="1"/>
  <c r="J86" i="1"/>
  <c r="J79" i="1"/>
  <c r="F80" i="1"/>
  <c r="F79" i="1"/>
  <c r="F84" i="1"/>
  <c r="J80" i="1"/>
  <c r="J78" i="1"/>
  <c r="L59" i="14"/>
  <c r="C59" i="14"/>
  <c r="L58" i="14"/>
  <c r="C58" i="14"/>
  <c r="L57" i="14"/>
  <c r="C57" i="14"/>
  <c r="L56" i="14"/>
  <c r="C56" i="14"/>
  <c r="L55" i="14"/>
  <c r="C55" i="14"/>
  <c r="L54" i="14"/>
  <c r="C54" i="14"/>
  <c r="L53" i="14"/>
  <c r="C53" i="14"/>
  <c r="L52" i="14"/>
  <c r="C52" i="14"/>
  <c r="L51" i="14"/>
  <c r="C51" i="14"/>
  <c r="L50" i="14"/>
  <c r="C50" i="14"/>
  <c r="E48" i="14"/>
  <c r="G34" i="14"/>
  <c r="G33" i="14"/>
  <c r="L26" i="14"/>
  <c r="C26" i="14"/>
  <c r="L25" i="14"/>
  <c r="C25" i="14"/>
  <c r="L24" i="14"/>
  <c r="C24" i="14"/>
  <c r="L23" i="14"/>
  <c r="C23" i="14"/>
  <c r="L22" i="14"/>
  <c r="C22" i="14"/>
  <c r="L21" i="14"/>
  <c r="C21" i="14"/>
  <c r="E19" i="14"/>
  <c r="G6" i="14"/>
  <c r="G5" i="14"/>
  <c r="M22" i="13"/>
  <c r="C22" i="13"/>
  <c r="M21" i="13"/>
  <c r="C21" i="13"/>
  <c r="M20" i="13"/>
  <c r="C20" i="13"/>
  <c r="M19" i="13"/>
  <c r="C19" i="13"/>
  <c r="M18" i="13"/>
  <c r="C18" i="13"/>
  <c r="E16" i="13"/>
  <c r="G6" i="13"/>
  <c r="G5" i="13"/>
  <c r="E85" i="12"/>
  <c r="G71" i="12"/>
  <c r="G70" i="12"/>
  <c r="L68" i="12"/>
  <c r="C68" i="12"/>
  <c r="L67" i="12"/>
  <c r="C67" i="12"/>
  <c r="L66" i="12"/>
  <c r="C66" i="12"/>
  <c r="L65" i="12"/>
  <c r="C65" i="12"/>
  <c r="L64" i="12"/>
  <c r="C64" i="12"/>
  <c r="L63" i="12"/>
  <c r="C63" i="12"/>
  <c r="L62" i="12"/>
  <c r="C62" i="12"/>
  <c r="L61" i="12"/>
  <c r="C61" i="12"/>
  <c r="L60" i="12"/>
  <c r="C60" i="12"/>
  <c r="L59" i="12"/>
  <c r="C59" i="12"/>
  <c r="L58" i="12"/>
  <c r="C58" i="12"/>
  <c r="L57" i="12"/>
  <c r="C57" i="12"/>
  <c r="L56" i="12"/>
  <c r="C56" i="12"/>
  <c r="L55" i="12"/>
  <c r="C55" i="12"/>
  <c r="L54" i="12"/>
  <c r="C54" i="12"/>
  <c r="L53" i="12"/>
  <c r="C53" i="12"/>
  <c r="L52" i="12"/>
  <c r="C52" i="12"/>
  <c r="L51" i="12"/>
  <c r="C51" i="12"/>
  <c r="L50" i="12"/>
  <c r="C50" i="12"/>
  <c r="L49" i="12"/>
  <c r="C49" i="12"/>
  <c r="L48" i="12"/>
  <c r="C48" i="12"/>
  <c r="L47" i="12"/>
  <c r="C47" i="12"/>
  <c r="L46" i="12"/>
  <c r="C46" i="12"/>
  <c r="L45" i="12"/>
  <c r="C45" i="12"/>
  <c r="E43" i="12"/>
  <c r="G41" i="12"/>
  <c r="G40" i="12"/>
  <c r="L31" i="12"/>
  <c r="C31" i="12"/>
  <c r="L30" i="12"/>
  <c r="C30" i="12"/>
  <c r="L29" i="12"/>
  <c r="C29" i="12"/>
  <c r="L28" i="12"/>
  <c r="C28" i="12"/>
  <c r="L27" i="12"/>
  <c r="C27" i="12"/>
  <c r="L26" i="12"/>
  <c r="C26" i="12"/>
  <c r="L25" i="12"/>
  <c r="C25" i="12"/>
  <c r="L24" i="12"/>
  <c r="C24" i="12"/>
  <c r="L23" i="12"/>
  <c r="C23" i="12"/>
  <c r="L22" i="12"/>
  <c r="C22" i="12"/>
  <c r="L21" i="12"/>
  <c r="C21" i="12"/>
  <c r="L20" i="12"/>
  <c r="C20" i="12"/>
  <c r="L19" i="12"/>
  <c r="C19" i="12"/>
  <c r="E17" i="12"/>
  <c r="G6" i="12"/>
  <c r="G5" i="12"/>
  <c r="M183" i="6"/>
  <c r="B183" i="6"/>
  <c r="M182" i="6"/>
  <c r="B182" i="6"/>
  <c r="M181" i="6"/>
  <c r="B181" i="6"/>
  <c r="M180" i="6"/>
  <c r="B180" i="6"/>
  <c r="M179" i="6"/>
  <c r="B179" i="6"/>
  <c r="M178" i="6"/>
  <c r="B178" i="6"/>
  <c r="M177" i="6"/>
  <c r="B177" i="6"/>
  <c r="M176" i="6"/>
  <c r="B176" i="6"/>
  <c r="M175" i="6"/>
  <c r="B175" i="6"/>
  <c r="M174" i="6"/>
  <c r="B174" i="6"/>
  <c r="M141" i="6"/>
  <c r="B141" i="6"/>
  <c r="M140" i="6"/>
  <c r="B140" i="6"/>
  <c r="M139" i="6"/>
  <c r="B139" i="6"/>
  <c r="M138" i="6"/>
  <c r="B138" i="6"/>
  <c r="M137" i="6"/>
  <c r="B137" i="6"/>
  <c r="M136" i="6"/>
  <c r="B136" i="6"/>
  <c r="M116" i="6"/>
  <c r="B116" i="6"/>
  <c r="M115" i="6"/>
  <c r="B115" i="6"/>
  <c r="M114" i="6"/>
  <c r="B114" i="6"/>
  <c r="M113" i="6"/>
  <c r="B113" i="6"/>
  <c r="M112" i="6"/>
  <c r="B112" i="6"/>
  <c r="M97" i="6"/>
  <c r="B97" i="6"/>
  <c r="M96" i="6"/>
  <c r="B96" i="6"/>
  <c r="M95" i="6"/>
  <c r="B95" i="6"/>
  <c r="M94" i="6"/>
  <c r="B94" i="6"/>
  <c r="M93" i="6"/>
  <c r="B93" i="6"/>
  <c r="M92" i="6"/>
  <c r="B92" i="6"/>
  <c r="M91" i="6"/>
  <c r="B91" i="6"/>
  <c r="M90" i="6"/>
  <c r="B90" i="6"/>
  <c r="M89" i="6"/>
  <c r="B89" i="6"/>
  <c r="M88" i="6"/>
  <c r="B88" i="6"/>
  <c r="M87" i="6"/>
  <c r="B87" i="6"/>
  <c r="M86" i="6"/>
  <c r="B86" i="6"/>
  <c r="M85" i="6"/>
  <c r="B85" i="6"/>
  <c r="M84" i="6"/>
  <c r="B84" i="6"/>
  <c r="M83" i="6"/>
  <c r="B83" i="6"/>
  <c r="M82" i="6"/>
  <c r="B82" i="6"/>
  <c r="M81" i="6"/>
  <c r="B81" i="6"/>
  <c r="M80" i="6"/>
  <c r="B80" i="6"/>
  <c r="M79" i="6"/>
  <c r="B79" i="6"/>
  <c r="M78" i="6"/>
  <c r="B78" i="6"/>
  <c r="M77" i="6"/>
  <c r="B77" i="6"/>
  <c r="M76" i="6"/>
  <c r="B76" i="6"/>
  <c r="M75" i="6"/>
  <c r="B75" i="6"/>
  <c r="M74" i="6"/>
  <c r="B74" i="6"/>
  <c r="M66" i="6"/>
  <c r="B66" i="6"/>
  <c r="M65" i="6"/>
  <c r="B65" i="6"/>
  <c r="M64" i="6"/>
  <c r="B64" i="6"/>
  <c r="M63" i="6"/>
  <c r="B63" i="6"/>
  <c r="M62" i="6"/>
  <c r="B62" i="6"/>
  <c r="M61" i="6"/>
  <c r="B61" i="6"/>
  <c r="M60" i="6"/>
  <c r="B60" i="6"/>
  <c r="M59" i="6"/>
  <c r="B59" i="6"/>
  <c r="M58" i="6"/>
  <c r="B58" i="6"/>
  <c r="M57" i="6"/>
  <c r="B57" i="6"/>
  <c r="M56" i="6"/>
  <c r="B56" i="6"/>
  <c r="M55" i="6"/>
  <c r="B55" i="6"/>
  <c r="M54" i="6"/>
  <c r="B54" i="6"/>
  <c r="M53" i="6"/>
  <c r="B53" i="6"/>
  <c r="M52" i="6"/>
  <c r="B52" i="6"/>
  <c r="M51" i="6"/>
  <c r="B51" i="6"/>
  <c r="M50" i="6"/>
  <c r="B50" i="6"/>
  <c r="M49" i="6"/>
  <c r="B49" i="6"/>
  <c r="M48" i="6"/>
  <c r="B48" i="6"/>
  <c r="M47" i="6"/>
  <c r="B47" i="6"/>
  <c r="M46" i="6"/>
  <c r="B46" i="6"/>
  <c r="M45" i="6"/>
  <c r="B45" i="6"/>
  <c r="M44" i="6"/>
  <c r="B44" i="6"/>
  <c r="M43" i="6"/>
  <c r="B43" i="6"/>
  <c r="M30" i="6"/>
  <c r="B30" i="6"/>
  <c r="M29" i="6"/>
  <c r="B29" i="6"/>
  <c r="M28" i="6"/>
  <c r="B28" i="6"/>
  <c r="M27" i="6"/>
  <c r="B27" i="6"/>
  <c r="M26" i="6"/>
  <c r="B26" i="6"/>
  <c r="M25" i="6"/>
  <c r="B25" i="6"/>
  <c r="M24" i="6"/>
  <c r="B24" i="6"/>
  <c r="M23" i="6"/>
  <c r="B23" i="6"/>
  <c r="M22" i="6"/>
  <c r="B22" i="6"/>
  <c r="M21" i="6"/>
  <c r="B21" i="6"/>
  <c r="M20" i="6"/>
  <c r="B20" i="6"/>
  <c r="M19" i="6"/>
  <c r="B19" i="6"/>
  <c r="M18" i="6"/>
  <c r="B18" i="6"/>
  <c r="E26" i="7"/>
  <c r="E24" i="7"/>
  <c r="E23" i="7"/>
  <c r="E21" i="7"/>
  <c r="J57" i="5"/>
  <c r="I57" i="5"/>
  <c r="H57" i="5"/>
  <c r="G57" i="5"/>
  <c r="F57" i="5"/>
  <c r="G6" i="5"/>
  <c r="B411" i="4"/>
  <c r="E408" i="4" s="1"/>
  <c r="I397" i="4"/>
  <c r="I396" i="4"/>
  <c r="I394" i="4"/>
  <c r="I393" i="4"/>
  <c r="I392" i="4"/>
  <c r="I391" i="4"/>
  <c r="I390" i="4"/>
  <c r="I389" i="4"/>
  <c r="I388" i="4"/>
  <c r="B362" i="4"/>
  <c r="B343" i="4"/>
  <c r="E349" i="4" s="1"/>
  <c r="F349" i="4" s="1"/>
  <c r="Q289" i="4"/>
  <c r="P289" i="4"/>
  <c r="O289" i="4"/>
  <c r="N289" i="4"/>
  <c r="Q288" i="4"/>
  <c r="P288" i="4"/>
  <c r="O288" i="4"/>
  <c r="N288" i="4"/>
  <c r="Q287" i="4"/>
  <c r="P287" i="4"/>
  <c r="O287" i="4"/>
  <c r="Q286" i="4"/>
  <c r="P286" i="4"/>
  <c r="O286" i="4"/>
  <c r="Q285" i="4"/>
  <c r="P285" i="4"/>
  <c r="O285" i="4"/>
  <c r="Q284" i="4"/>
  <c r="P284" i="4"/>
  <c r="O284" i="4"/>
  <c r="Q283" i="4"/>
  <c r="P283" i="4"/>
  <c r="O283" i="4"/>
  <c r="Q282" i="4"/>
  <c r="P282" i="4"/>
  <c r="O282" i="4"/>
  <c r="Q281" i="4"/>
  <c r="P281" i="4"/>
  <c r="O281" i="4"/>
  <c r="Q280" i="4"/>
  <c r="P280" i="4"/>
  <c r="O280" i="4"/>
  <c r="Q279" i="4"/>
  <c r="P279" i="4"/>
  <c r="O279" i="4"/>
  <c r="H224" i="4"/>
  <c r="H223" i="4"/>
  <c r="Q222" i="4"/>
  <c r="P222" i="4"/>
  <c r="O222" i="4"/>
  <c r="Q221" i="4"/>
  <c r="P221" i="4"/>
  <c r="O221" i="4"/>
  <c r="Q220" i="4"/>
  <c r="P220" i="4"/>
  <c r="O220" i="4"/>
  <c r="Q219" i="4"/>
  <c r="P219" i="4"/>
  <c r="O219" i="4"/>
  <c r="Q218" i="4"/>
  <c r="P218" i="4"/>
  <c r="O218" i="4"/>
  <c r="Q217" i="4"/>
  <c r="P217" i="4"/>
  <c r="O217" i="4"/>
  <c r="Q216" i="4"/>
  <c r="P216" i="4"/>
  <c r="O216" i="4"/>
  <c r="Q215" i="4"/>
  <c r="P215" i="4"/>
  <c r="O215" i="4"/>
  <c r="Q214" i="4"/>
  <c r="P214" i="4"/>
  <c r="O214" i="4"/>
  <c r="D162" i="4"/>
  <c r="E162" i="4" s="1"/>
  <c r="D161" i="4"/>
  <c r="E161" i="4" s="1"/>
  <c r="D159" i="4"/>
  <c r="E159" i="4" s="1"/>
  <c r="D158" i="4"/>
  <c r="E158" i="4" s="1"/>
  <c r="I136" i="4"/>
  <c r="J5" i="4"/>
  <c r="K33" i="4"/>
  <c r="C33" i="4"/>
  <c r="D33" i="4" s="1"/>
  <c r="C32" i="4"/>
  <c r="D32" i="4" s="1"/>
  <c r="K27" i="4"/>
  <c r="D27" i="4"/>
  <c r="E27" i="4" s="1"/>
  <c r="K26" i="4"/>
  <c r="D26" i="4"/>
  <c r="E26" i="4" s="1"/>
  <c r="K25" i="4"/>
  <c r="D25" i="4"/>
  <c r="E25" i="4" s="1"/>
  <c r="K24" i="4"/>
  <c r="D24" i="4"/>
  <c r="E24" i="4" s="1"/>
  <c r="K23" i="4"/>
  <c r="D23" i="4"/>
  <c r="E23" i="4" s="1"/>
  <c r="K22" i="4"/>
  <c r="D22" i="4"/>
  <c r="K21" i="4"/>
  <c r="D21" i="4"/>
  <c r="K20" i="4"/>
  <c r="D20" i="4"/>
  <c r="K19" i="4"/>
  <c r="D19" i="4"/>
  <c r="K18" i="4"/>
  <c r="D18" i="4"/>
  <c r="K17" i="4"/>
  <c r="D17" i="4"/>
  <c r="K16" i="4"/>
  <c r="D16" i="4"/>
  <c r="E16" i="4" s="1"/>
  <c r="K15" i="4"/>
  <c r="D15" i="4"/>
  <c r="E15" i="4" s="1"/>
  <c r="K14" i="4"/>
  <c r="D14" i="4"/>
  <c r="E14" i="4" s="1"/>
  <c r="K13" i="4"/>
  <c r="D13" i="4"/>
  <c r="E13" i="4" s="1"/>
  <c r="K12" i="4"/>
  <c r="D12" i="4"/>
  <c r="E12" i="4" s="1"/>
  <c r="K11" i="4"/>
  <c r="D11" i="4"/>
  <c r="K10" i="4"/>
  <c r="D10" i="4"/>
  <c r="K9" i="4"/>
  <c r="D9" i="4"/>
  <c r="K8" i="4"/>
  <c r="D8" i="4"/>
  <c r="K7" i="4"/>
  <c r="D7" i="4"/>
  <c r="D6" i="4"/>
  <c r="I179" i="3"/>
  <c r="I180" i="3" s="1"/>
  <c r="I182" i="3" s="1"/>
  <c r="I183" i="3" s="1"/>
  <c r="I185" i="3" s="1"/>
  <c r="I186" i="3" s="1"/>
  <c r="I189" i="3" s="1"/>
  <c r="I191" i="3" s="1"/>
  <c r="I192" i="3" s="1"/>
  <c r="E164" i="3"/>
  <c r="E163" i="3"/>
  <c r="E161" i="3"/>
  <c r="G142" i="3"/>
  <c r="G144" i="3" s="1"/>
  <c r="E71" i="3"/>
  <c r="E70" i="3"/>
  <c r="E68" i="3"/>
  <c r="E67" i="3"/>
  <c r="F21" i="3"/>
  <c r="G21" i="3" s="1"/>
  <c r="F20" i="3"/>
  <c r="G20" i="3" s="1"/>
  <c r="F18" i="3"/>
  <c r="G18" i="3" s="1"/>
  <c r="F17" i="3"/>
  <c r="G17" i="3" s="1"/>
  <c r="F15" i="3"/>
  <c r="G15" i="3" s="1"/>
  <c r="H12" i="3"/>
  <c r="F12" i="3"/>
  <c r="G12" i="3" s="1"/>
  <c r="H11" i="3"/>
  <c r="F11" i="3"/>
  <c r="G11" i="3" s="1"/>
  <c r="H9" i="3"/>
  <c r="F9" i="3"/>
  <c r="G9" i="3" s="1"/>
  <c r="H8" i="3"/>
  <c r="F8" i="3"/>
  <c r="G8" i="3" s="1"/>
  <c r="AN1046" i="1"/>
  <c r="AM1046" i="1"/>
  <c r="AC1046" i="1"/>
  <c r="AN1045" i="1"/>
  <c r="AM1045" i="1"/>
  <c r="AC1045" i="1"/>
  <c r="AN1044" i="1"/>
  <c r="AM1044" i="1"/>
  <c r="AC1044" i="1"/>
  <c r="AN1043" i="1"/>
  <c r="AM1043" i="1"/>
  <c r="AC1043" i="1"/>
  <c r="AN1042" i="1"/>
  <c r="AM1042" i="1"/>
  <c r="AC1042" i="1"/>
  <c r="AN1041" i="1"/>
  <c r="AM1041" i="1"/>
  <c r="AC1041" i="1"/>
  <c r="AN1040" i="1"/>
  <c r="AM1040" i="1"/>
  <c r="AE1040" i="1"/>
  <c r="AC1040" i="1"/>
  <c r="U1040" i="1"/>
  <c r="AN1039" i="1"/>
  <c r="AM1039" i="1"/>
  <c r="AC1039" i="1"/>
  <c r="AN1038" i="1"/>
  <c r="AM1038" i="1"/>
  <c r="AC1038" i="1"/>
  <c r="AN1037" i="1"/>
  <c r="AM1037" i="1"/>
  <c r="AC1037" i="1"/>
  <c r="AN1034" i="1"/>
  <c r="AM1034" i="1"/>
  <c r="AC1034" i="1"/>
  <c r="AN1033" i="1"/>
  <c r="AM1033" i="1"/>
  <c r="AC1033" i="1"/>
  <c r="AN1032" i="1"/>
  <c r="AM1032" i="1"/>
  <c r="AC1032" i="1"/>
  <c r="AN1031" i="1"/>
  <c r="AM1031" i="1"/>
  <c r="AC1031" i="1"/>
  <c r="AN1030" i="1"/>
  <c r="AM1030" i="1"/>
  <c r="AC1030" i="1"/>
  <c r="AN1029" i="1"/>
  <c r="AM1029" i="1"/>
  <c r="AC1029" i="1"/>
  <c r="AN1028" i="1"/>
  <c r="AM1028" i="1"/>
  <c r="AE1028" i="1"/>
  <c r="AC1028" i="1"/>
  <c r="U1028" i="1"/>
  <c r="AN1027" i="1"/>
  <c r="AM1027" i="1"/>
  <c r="AC1027" i="1"/>
  <c r="AN1026" i="1"/>
  <c r="AM1026" i="1"/>
  <c r="AC1026" i="1"/>
  <c r="AN1025" i="1"/>
  <c r="AM1025" i="1"/>
  <c r="AC1025" i="1"/>
  <c r="U1025" i="1"/>
  <c r="U1013" i="1" s="1"/>
  <c r="U999" i="1" s="1"/>
  <c r="U1024" i="1"/>
  <c r="U1012" i="1" s="1"/>
  <c r="U998" i="1" s="1"/>
  <c r="AN1022" i="1"/>
  <c r="AM1022" i="1"/>
  <c r="AC1022" i="1"/>
  <c r="AN1021" i="1"/>
  <c r="AM1021" i="1"/>
  <c r="AC1021" i="1"/>
  <c r="AN1020" i="1"/>
  <c r="AM1020" i="1"/>
  <c r="AC1020" i="1"/>
  <c r="AN1019" i="1"/>
  <c r="AM1019" i="1"/>
  <c r="AC1019" i="1"/>
  <c r="AN1018" i="1"/>
  <c r="AM1018" i="1"/>
  <c r="AC1018" i="1"/>
  <c r="AN1017" i="1"/>
  <c r="AM1017" i="1"/>
  <c r="AC1017" i="1"/>
  <c r="AN1016" i="1"/>
  <c r="AM1016" i="1"/>
  <c r="AE1016" i="1"/>
  <c r="AC1016" i="1"/>
  <c r="U1016" i="1"/>
  <c r="AN1015" i="1"/>
  <c r="AM1015" i="1"/>
  <c r="AC1015" i="1"/>
  <c r="AN1014" i="1"/>
  <c r="AM1014" i="1"/>
  <c r="AC1014" i="1"/>
  <c r="AN1013" i="1"/>
  <c r="AM1013" i="1"/>
  <c r="AC1013" i="1"/>
  <c r="AN1010" i="1"/>
  <c r="AM1010" i="1"/>
  <c r="AC1010" i="1"/>
  <c r="AN1009" i="1"/>
  <c r="AM1009" i="1"/>
  <c r="AC1009" i="1"/>
  <c r="AN1008" i="1"/>
  <c r="AM1008" i="1"/>
  <c r="AC1008" i="1"/>
  <c r="AN1007" i="1"/>
  <c r="AM1007" i="1"/>
  <c r="AC1007" i="1"/>
  <c r="AN1006" i="1"/>
  <c r="AM1006" i="1"/>
  <c r="AC1006" i="1"/>
  <c r="AN1003" i="1"/>
  <c r="AM1003" i="1"/>
  <c r="AC1003" i="1"/>
  <c r="AN1002" i="1"/>
  <c r="AM1002" i="1"/>
  <c r="AE1002" i="1"/>
  <c r="AC1002" i="1"/>
  <c r="U1002" i="1"/>
  <c r="AN1001" i="1"/>
  <c r="AM1001" i="1"/>
  <c r="AC1001" i="1"/>
  <c r="AN1000" i="1"/>
  <c r="AM1000" i="1"/>
  <c r="AC1000" i="1"/>
  <c r="AN999" i="1"/>
  <c r="AM999" i="1"/>
  <c r="AC999" i="1"/>
  <c r="AN992" i="1"/>
  <c r="AM992" i="1"/>
  <c r="AC992" i="1"/>
  <c r="AN991" i="1"/>
  <c r="AM991" i="1"/>
  <c r="AC991" i="1"/>
  <c r="AN990" i="1"/>
  <c r="AM990" i="1"/>
  <c r="AC990" i="1"/>
  <c r="AN989" i="1"/>
  <c r="AM989" i="1"/>
  <c r="AE989" i="1"/>
  <c r="AC989" i="1"/>
  <c r="U989" i="1"/>
  <c r="AN988" i="1"/>
  <c r="AM988" i="1"/>
  <c r="AC988" i="1"/>
  <c r="G985" i="1"/>
  <c r="AN987" i="1"/>
  <c r="AM987" i="1"/>
  <c r="AC987" i="1"/>
  <c r="AN981" i="1"/>
  <c r="AM981" i="1"/>
  <c r="AC981" i="1"/>
  <c r="AN973" i="1"/>
  <c r="AM973" i="1"/>
  <c r="AC973" i="1"/>
  <c r="I972" i="1"/>
  <c r="I971" i="1"/>
  <c r="I967" i="1"/>
  <c r="I966" i="1"/>
  <c r="AN965" i="1"/>
  <c r="AM965" i="1"/>
  <c r="AC965" i="1"/>
  <c r="I965" i="1"/>
  <c r="I964" i="1"/>
  <c r="I963" i="1"/>
  <c r="I959" i="1"/>
  <c r="AN958" i="1"/>
  <c r="AM958" i="1"/>
  <c r="AC958" i="1"/>
  <c r="I958" i="1"/>
  <c r="AN957" i="1"/>
  <c r="AM957" i="1"/>
  <c r="AE957" i="1"/>
  <c r="AC957" i="1"/>
  <c r="U957" i="1"/>
  <c r="AN956" i="1"/>
  <c r="AM956" i="1"/>
  <c r="AC956" i="1"/>
  <c r="AN955" i="1"/>
  <c r="AM955" i="1"/>
  <c r="AC955" i="1"/>
  <c r="AN954" i="1"/>
  <c r="AM954" i="1"/>
  <c r="AC954" i="1"/>
  <c r="AN950" i="1"/>
  <c r="AM950" i="1"/>
  <c r="AC950" i="1"/>
  <c r="AN948" i="1"/>
  <c r="AM948" i="1"/>
  <c r="AE948" i="1"/>
  <c r="AC948" i="1"/>
  <c r="U948" i="1"/>
  <c r="AN946" i="1"/>
  <c r="AM946" i="1"/>
  <c r="AC946" i="1"/>
  <c r="AN945" i="1"/>
  <c r="AM945" i="1"/>
  <c r="AC945" i="1"/>
  <c r="AN943" i="1"/>
  <c r="AM943" i="1"/>
  <c r="AC943" i="1"/>
  <c r="AN938" i="1"/>
  <c r="AM938" i="1"/>
  <c r="AC938" i="1"/>
  <c r="AN937" i="1"/>
  <c r="AM937" i="1"/>
  <c r="AC937" i="1"/>
  <c r="AN936" i="1"/>
  <c r="AM936" i="1"/>
  <c r="AC936" i="1"/>
  <c r="AN935" i="1"/>
  <c r="AM935" i="1"/>
  <c r="AE935" i="1"/>
  <c r="AC935" i="1"/>
  <c r="U935" i="1"/>
  <c r="AN934" i="1"/>
  <c r="AM934" i="1"/>
  <c r="AC934" i="1"/>
  <c r="AN933" i="1"/>
  <c r="AM933" i="1"/>
  <c r="AC933" i="1"/>
  <c r="AN932" i="1"/>
  <c r="AM932" i="1"/>
  <c r="AC932" i="1"/>
  <c r="E906" i="1"/>
  <c r="C928" i="1" s="1"/>
  <c r="E904" i="1"/>
  <c r="C926" i="1" s="1"/>
  <c r="E902" i="1"/>
  <c r="C924" i="1" s="1"/>
  <c r="E901" i="1"/>
  <c r="C923" i="1" s="1"/>
  <c r="E899" i="1"/>
  <c r="C921" i="1" s="1"/>
  <c r="E898" i="1"/>
  <c r="C920" i="1" s="1"/>
  <c r="D896" i="1"/>
  <c r="D895" i="1"/>
  <c r="D894" i="1"/>
  <c r="D893" i="1"/>
  <c r="D892" i="1"/>
  <c r="D891" i="1"/>
  <c r="D890" i="1"/>
  <c r="D889" i="1"/>
  <c r="F868" i="1"/>
  <c r="E861" i="1"/>
  <c r="E859" i="1"/>
  <c r="E857" i="1"/>
  <c r="E856" i="1"/>
  <c r="E854" i="1"/>
  <c r="E853" i="1"/>
  <c r="C832" i="1"/>
  <c r="B832" i="1"/>
  <c r="C831" i="1"/>
  <c r="B831" i="1"/>
  <c r="B800" i="1"/>
  <c r="B781" i="1"/>
  <c r="E795" i="1" s="1"/>
  <c r="F795" i="1" s="1"/>
  <c r="AA759" i="1"/>
  <c r="Z759" i="1"/>
  <c r="Y759" i="1"/>
  <c r="X759" i="1"/>
  <c r="AA758" i="1"/>
  <c r="Z758" i="1"/>
  <c r="Y758" i="1"/>
  <c r="X758" i="1"/>
  <c r="AA757" i="1"/>
  <c r="Z757" i="1"/>
  <c r="Y757" i="1"/>
  <c r="AA756" i="1"/>
  <c r="Z756" i="1"/>
  <c r="Y756" i="1"/>
  <c r="AA755" i="1"/>
  <c r="Z755" i="1"/>
  <c r="Y755" i="1"/>
  <c r="AA754" i="1"/>
  <c r="Z754" i="1"/>
  <c r="Y754" i="1"/>
  <c r="AA753" i="1"/>
  <c r="Z753" i="1"/>
  <c r="Y753" i="1"/>
  <c r="I753" i="1"/>
  <c r="D772" i="1" s="1"/>
  <c r="AA752" i="1"/>
  <c r="Z752" i="1"/>
  <c r="Y752" i="1"/>
  <c r="I752" i="1"/>
  <c r="D771" i="1" s="1"/>
  <c r="AA749" i="1"/>
  <c r="Z749" i="1"/>
  <c r="Y749" i="1"/>
  <c r="AA748" i="1"/>
  <c r="Z748" i="1"/>
  <c r="Y748" i="1"/>
  <c r="AA747" i="1"/>
  <c r="Z747" i="1"/>
  <c r="Y747" i="1"/>
  <c r="AA746" i="1"/>
  <c r="Z746" i="1"/>
  <c r="Y746" i="1"/>
  <c r="AA745" i="1"/>
  <c r="Z745" i="1"/>
  <c r="Y745" i="1"/>
  <c r="AA720" i="1"/>
  <c r="Z720" i="1"/>
  <c r="Y720" i="1"/>
  <c r="X720" i="1"/>
  <c r="K720" i="1"/>
  <c r="J758" i="1" s="1"/>
  <c r="AA719" i="1"/>
  <c r="Z719" i="1"/>
  <c r="Y719" i="1"/>
  <c r="X719" i="1"/>
  <c r="K719" i="1"/>
  <c r="J757" i="1" s="1"/>
  <c r="AA718" i="1"/>
  <c r="Z718" i="1"/>
  <c r="Y718" i="1"/>
  <c r="X718" i="1"/>
  <c r="K718" i="1"/>
  <c r="J756" i="1" s="1"/>
  <c r="AA717" i="1"/>
  <c r="Z717" i="1"/>
  <c r="Y717" i="1"/>
  <c r="X717" i="1"/>
  <c r="K717" i="1"/>
  <c r="J755" i="1" s="1"/>
  <c r="AA716" i="1"/>
  <c r="Z716" i="1"/>
  <c r="Y716" i="1"/>
  <c r="X716" i="1"/>
  <c r="K716" i="1"/>
  <c r="J754" i="1" s="1"/>
  <c r="X715" i="1"/>
  <c r="K715" i="1"/>
  <c r="H715" i="1" s="1"/>
  <c r="X714" i="1"/>
  <c r="K714" i="1"/>
  <c r="J752" i="1" s="1"/>
  <c r="K752" i="1" s="1"/>
  <c r="G771" i="1" s="1"/>
  <c r="AA711" i="1"/>
  <c r="Z711" i="1"/>
  <c r="Y711" i="1"/>
  <c r="X711" i="1"/>
  <c r="K711" i="1"/>
  <c r="J749" i="1" s="1"/>
  <c r="AA710" i="1"/>
  <c r="Z710" i="1"/>
  <c r="Y710" i="1"/>
  <c r="X710" i="1"/>
  <c r="K710" i="1"/>
  <c r="J748" i="1" s="1"/>
  <c r="AA709" i="1"/>
  <c r="Z709" i="1"/>
  <c r="Y709" i="1"/>
  <c r="X709" i="1"/>
  <c r="K709" i="1"/>
  <c r="J747" i="1" s="1"/>
  <c r="AA708" i="1"/>
  <c r="Z708" i="1"/>
  <c r="Y708" i="1"/>
  <c r="X708" i="1"/>
  <c r="K708" i="1"/>
  <c r="J746" i="1" s="1"/>
  <c r="AA707" i="1"/>
  <c r="Z707" i="1"/>
  <c r="Y707" i="1"/>
  <c r="X707" i="1"/>
  <c r="K707" i="1"/>
  <c r="J745" i="1" s="1"/>
  <c r="AA706" i="1"/>
  <c r="Z706" i="1"/>
  <c r="Y706" i="1"/>
  <c r="X706" i="1"/>
  <c r="K706" i="1"/>
  <c r="J744" i="1" s="1"/>
  <c r="D696" i="1"/>
  <c r="D695" i="1"/>
  <c r="J658" i="1"/>
  <c r="D658" i="1"/>
  <c r="D656" i="1"/>
  <c r="J655" i="1"/>
  <c r="D655" i="1"/>
  <c r="J653" i="1"/>
  <c r="D653" i="1"/>
  <c r="J652" i="1"/>
  <c r="D652" i="1"/>
  <c r="D645" i="1"/>
  <c r="D643" i="1"/>
  <c r="D642" i="1"/>
  <c r="D640" i="1"/>
  <c r="D639" i="1"/>
  <c r="B635" i="1"/>
  <c r="B634" i="1"/>
  <c r="B613" i="1"/>
  <c r="G609" i="1" s="1"/>
  <c r="I605" i="1"/>
  <c r="D605" i="1"/>
  <c r="I604" i="1"/>
  <c r="D604" i="1"/>
  <c r="E577" i="1"/>
  <c r="E576" i="1"/>
  <c r="E575" i="1"/>
  <c r="E574" i="1"/>
  <c r="E573" i="1"/>
  <c r="E572" i="1"/>
  <c r="D571" i="1"/>
  <c r="E571" i="1" s="1"/>
  <c r="D570" i="1"/>
  <c r="E570" i="1" s="1"/>
  <c r="D569" i="1"/>
  <c r="E569" i="1" s="1"/>
  <c r="D568" i="1"/>
  <c r="E568" i="1" s="1"/>
  <c r="D567" i="1"/>
  <c r="E567" i="1" s="1"/>
  <c r="D566" i="1"/>
  <c r="E566" i="1" s="1"/>
  <c r="D565" i="1"/>
  <c r="E565" i="1" s="1"/>
  <c r="D564" i="1"/>
  <c r="E564" i="1" s="1"/>
  <c r="E559" i="1"/>
  <c r="E558" i="1"/>
  <c r="E557" i="1"/>
  <c r="E556" i="1"/>
  <c r="E555" i="1"/>
  <c r="E554" i="1"/>
  <c r="J553" i="1"/>
  <c r="E553" i="1"/>
  <c r="J552" i="1"/>
  <c r="E552" i="1"/>
  <c r="J551" i="1"/>
  <c r="E551" i="1"/>
  <c r="J550" i="1"/>
  <c r="E550" i="1"/>
  <c r="I549" i="1"/>
  <c r="J549" i="1" s="1"/>
  <c r="E549" i="1"/>
  <c r="I548" i="1"/>
  <c r="J548" i="1" s="1"/>
  <c r="E548" i="1"/>
  <c r="I547" i="1"/>
  <c r="J547" i="1" s="1"/>
  <c r="E547" i="1"/>
  <c r="I546" i="1"/>
  <c r="J546" i="1" s="1"/>
  <c r="E546" i="1"/>
  <c r="C540" i="1"/>
  <c r="B540" i="1"/>
  <c r="C539" i="1"/>
  <c r="B539" i="1"/>
  <c r="G532" i="1"/>
  <c r="C532" i="1"/>
  <c r="G531" i="1"/>
  <c r="C531" i="1"/>
  <c r="G530" i="1"/>
  <c r="C530" i="1"/>
  <c r="G529" i="1"/>
  <c r="C529" i="1"/>
  <c r="G528" i="1"/>
  <c r="C528" i="1"/>
  <c r="G527" i="1"/>
  <c r="C527" i="1"/>
  <c r="G526" i="1"/>
  <c r="C526" i="1"/>
  <c r="G523" i="1"/>
  <c r="C523" i="1"/>
  <c r="G522" i="1"/>
  <c r="C522" i="1"/>
  <c r="G521" i="1"/>
  <c r="C521" i="1"/>
  <c r="G520" i="1"/>
  <c r="C520" i="1"/>
  <c r="G519" i="1"/>
  <c r="C519" i="1"/>
  <c r="G518" i="1"/>
  <c r="C518" i="1"/>
  <c r="D473" i="1"/>
  <c r="D472" i="1"/>
  <c r="H439" i="1"/>
  <c r="D439" i="1"/>
  <c r="H438" i="1"/>
  <c r="D438" i="1"/>
  <c r="H437" i="1"/>
  <c r="D437" i="1"/>
  <c r="H430" i="1"/>
  <c r="D430" i="1"/>
  <c r="H429" i="1"/>
  <c r="D429" i="1"/>
  <c r="H428" i="1"/>
  <c r="D428" i="1"/>
  <c r="B423" i="1"/>
  <c r="B422" i="1"/>
  <c r="G389" i="1"/>
  <c r="E389" i="1"/>
  <c r="G388" i="1"/>
  <c r="E388" i="1"/>
  <c r="G387" i="1"/>
  <c r="E387" i="1"/>
  <c r="G385" i="1"/>
  <c r="E385" i="1"/>
  <c r="G384" i="1"/>
  <c r="E384" i="1"/>
  <c r="G382" i="1"/>
  <c r="E382" i="1"/>
  <c r="I378" i="1"/>
  <c r="E378" i="1"/>
  <c r="I377" i="1"/>
  <c r="E377" i="1"/>
  <c r="E374" i="1"/>
  <c r="I373" i="1"/>
  <c r="E373" i="1"/>
  <c r="I372" i="1"/>
  <c r="E372" i="1"/>
  <c r="I371" i="1"/>
  <c r="E371" i="1"/>
  <c r="E368" i="1"/>
  <c r="F368" i="1" s="1"/>
  <c r="B398" i="1" s="1"/>
  <c r="I367" i="1"/>
  <c r="E367" i="1"/>
  <c r="I366" i="1"/>
  <c r="E366" i="1"/>
  <c r="I365" i="1"/>
  <c r="E365" i="1"/>
  <c r="D365" i="1"/>
  <c r="I364" i="1"/>
  <c r="E364" i="1"/>
  <c r="D364" i="1"/>
  <c r="D249" i="1"/>
  <c r="D248" i="1"/>
  <c r="D247" i="1"/>
  <c r="D246" i="1"/>
  <c r="D245" i="1"/>
  <c r="D244" i="1"/>
  <c r="D243" i="1"/>
  <c r="D242" i="1"/>
  <c r="D159" i="1"/>
  <c r="D158" i="1"/>
  <c r="B140" i="1"/>
  <c r="B454" i="1" s="1"/>
  <c r="B455" i="1" s="1"/>
  <c r="J490" i="1" s="1"/>
  <c r="J87" i="1"/>
  <c r="F87" i="1"/>
  <c r="J85" i="1"/>
  <c r="F85" i="1"/>
  <c r="J83" i="1"/>
  <c r="F83" i="1"/>
  <c r="J82" i="1"/>
  <c r="F82" i="1"/>
  <c r="J81" i="1"/>
  <c r="F81" i="1"/>
  <c r="J77" i="1"/>
  <c r="F77" i="1"/>
  <c r="D52" i="1"/>
  <c r="E52" i="1" s="1"/>
  <c r="D50" i="1"/>
  <c r="E50" i="1" s="1"/>
  <c r="F48" i="1"/>
  <c r="D48" i="1"/>
  <c r="E48" i="1" s="1"/>
  <c r="F47" i="1"/>
  <c r="D47" i="1"/>
  <c r="E47" i="1" s="1"/>
  <c r="F45" i="1"/>
  <c r="D45" i="1"/>
  <c r="E45" i="1" s="1"/>
  <c r="F44" i="1"/>
  <c r="D44" i="1"/>
  <c r="E44" i="1" s="1"/>
  <c r="D34" i="1"/>
  <c r="E34" i="1" s="1"/>
  <c r="D33" i="1"/>
  <c r="E33" i="1" s="1"/>
  <c r="D32" i="1"/>
  <c r="E32" i="1" s="1"/>
  <c r="D31" i="1"/>
  <c r="E31" i="1" s="1"/>
  <c r="D30" i="1"/>
  <c r="E30" i="1" s="1"/>
  <c r="G29" i="1"/>
  <c r="D29" i="1"/>
  <c r="G28" i="1"/>
  <c r="D28" i="1"/>
  <c r="G25" i="1"/>
  <c r="F25" i="1"/>
  <c r="D25" i="1"/>
  <c r="G24" i="1"/>
  <c r="F24" i="1"/>
  <c r="D24" i="1"/>
  <c r="G23" i="1"/>
  <c r="F23" i="1"/>
  <c r="D23" i="1"/>
  <c r="G22" i="1"/>
  <c r="F22" i="1"/>
  <c r="D22" i="1"/>
  <c r="G21" i="1"/>
  <c r="F21" i="1"/>
  <c r="D21" i="1"/>
  <c r="D20" i="1"/>
  <c r="D7" i="1"/>
  <c r="E7" i="1" s="1"/>
  <c r="E20" i="7" s="1"/>
  <c r="G145" i="3" l="1"/>
  <c r="G146" i="3"/>
  <c r="E641" i="1"/>
  <c r="J641" i="1" s="1"/>
  <c r="B665" i="1" s="1"/>
  <c r="F900" i="1"/>
  <c r="G900" i="1" s="1"/>
  <c r="B922" i="1" s="1"/>
  <c r="F897" i="1"/>
  <c r="G897" i="1" s="1"/>
  <c r="B919" i="1" s="1"/>
  <c r="F905" i="1"/>
  <c r="G905" i="1" s="1"/>
  <c r="B927" i="1" s="1"/>
  <c r="F852" i="1"/>
  <c r="G852" i="1" s="1"/>
  <c r="B875" i="1" s="1"/>
  <c r="F903" i="1"/>
  <c r="G903" i="1" s="1"/>
  <c r="B925" i="1" s="1"/>
  <c r="F858" i="1"/>
  <c r="G858" i="1" s="1"/>
  <c r="B881" i="1" s="1"/>
  <c r="F855" i="1"/>
  <c r="G855" i="1" s="1"/>
  <c r="B878" i="1" s="1"/>
  <c r="F860" i="1"/>
  <c r="G860" i="1" s="1"/>
  <c r="B883" i="1" s="1"/>
  <c r="E654" i="1"/>
  <c r="K654" i="1" s="1"/>
  <c r="D665" i="1" s="1"/>
  <c r="E665" i="1" s="1"/>
  <c r="E657" i="1"/>
  <c r="K657" i="1" s="1"/>
  <c r="D668" i="1" s="1"/>
  <c r="E644" i="1"/>
  <c r="J644" i="1" s="1"/>
  <c r="B668" i="1" s="1"/>
  <c r="J468" i="1"/>
  <c r="J495" i="1"/>
  <c r="C459" i="1"/>
  <c r="K490" i="1" s="1"/>
  <c r="J472" i="1"/>
  <c r="E483" i="1"/>
  <c r="E487" i="1"/>
  <c r="E493" i="1"/>
  <c r="E497" i="1"/>
  <c r="E477" i="1"/>
  <c r="E470" i="1"/>
  <c r="J487" i="1"/>
  <c r="E467" i="1"/>
  <c r="E471" i="1"/>
  <c r="J464" i="1"/>
  <c r="J497" i="1"/>
  <c r="J465" i="1"/>
  <c r="J473" i="1"/>
  <c r="E484" i="1"/>
  <c r="E488" i="1"/>
  <c r="E494" i="1"/>
  <c r="E476" i="1"/>
  <c r="J470" i="1"/>
  <c r="J483" i="1"/>
  <c r="J466" i="1"/>
  <c r="J474" i="1"/>
  <c r="J484" i="1"/>
  <c r="J488" i="1"/>
  <c r="J494" i="1"/>
  <c r="E474" i="1"/>
  <c r="E466" i="1"/>
  <c r="J471" i="1"/>
  <c r="E473" i="1"/>
  <c r="J493" i="1"/>
  <c r="J467" i="1"/>
  <c r="J475" i="1"/>
  <c r="E485" i="1"/>
  <c r="E491" i="1"/>
  <c r="E495" i="1"/>
  <c r="E464" i="1"/>
  <c r="E475" i="1"/>
  <c r="E489" i="1"/>
  <c r="J476" i="1"/>
  <c r="E469" i="1"/>
  <c r="E465" i="1"/>
  <c r="J489" i="1"/>
  <c r="B458" i="1"/>
  <c r="J491" i="1"/>
  <c r="C458" i="1"/>
  <c r="J469" i="1"/>
  <c r="J477" i="1"/>
  <c r="E486" i="1"/>
  <c r="E492" i="1"/>
  <c r="E496" i="1"/>
  <c r="E478" i="1"/>
  <c r="E490" i="1"/>
  <c r="J485" i="1"/>
  <c r="B459" i="1"/>
  <c r="E472" i="1"/>
  <c r="J478" i="1"/>
  <c r="J486" i="1"/>
  <c r="J492" i="1"/>
  <c r="J496" i="1"/>
  <c r="E468" i="1"/>
  <c r="I26" i="4"/>
  <c r="I5" i="4"/>
  <c r="J21" i="4"/>
  <c r="J7" i="4"/>
  <c r="J9" i="4"/>
  <c r="J15" i="4"/>
  <c r="I19" i="4"/>
  <c r="J12" i="4"/>
  <c r="J14" i="4"/>
  <c r="E274" i="4"/>
  <c r="E271" i="4"/>
  <c r="E205" i="4"/>
  <c r="E270" i="4"/>
  <c r="E204" i="4"/>
  <c r="E269" i="4"/>
  <c r="E207" i="4"/>
  <c r="E272" i="4"/>
  <c r="E206" i="4"/>
  <c r="E656" i="1"/>
  <c r="K656" i="1" s="1"/>
  <c r="D667" i="1" s="1"/>
  <c r="J32" i="4"/>
  <c r="I29" i="4"/>
  <c r="J30" i="4"/>
  <c r="I30" i="4"/>
  <c r="J31" i="4"/>
  <c r="J28" i="4"/>
  <c r="I31" i="4"/>
  <c r="I28" i="4"/>
  <c r="J29" i="4"/>
  <c r="G408" i="4"/>
  <c r="H408" i="4" s="1"/>
  <c r="D425" i="4" s="1"/>
  <c r="I6" i="4"/>
  <c r="E394" i="4"/>
  <c r="F394" i="4" s="1"/>
  <c r="B422" i="4" s="1"/>
  <c r="E407" i="4"/>
  <c r="E391" i="4"/>
  <c r="F391" i="4" s="1"/>
  <c r="B419" i="4" s="1"/>
  <c r="E395" i="4"/>
  <c r="F395" i="4" s="1"/>
  <c r="B423" i="4" s="1"/>
  <c r="I8" i="4"/>
  <c r="I18" i="4"/>
  <c r="J20" i="4"/>
  <c r="I25" i="4"/>
  <c r="J27" i="4"/>
  <c r="J8" i="4"/>
  <c r="J13" i="4"/>
  <c r="J16" i="4"/>
  <c r="K80" i="1"/>
  <c r="J26" i="4"/>
  <c r="E388" i="4"/>
  <c r="F388" i="4" s="1"/>
  <c r="B416" i="4" s="1"/>
  <c r="E392" i="4"/>
  <c r="F392" i="4" s="1"/>
  <c r="B420" i="4" s="1"/>
  <c r="G401" i="4"/>
  <c r="E187" i="4"/>
  <c r="E396" i="4"/>
  <c r="F396" i="4" s="1"/>
  <c r="B424" i="4" s="1"/>
  <c r="E403" i="4"/>
  <c r="E199" i="4"/>
  <c r="E254" i="4"/>
  <c r="E390" i="4"/>
  <c r="F390" i="4" s="1"/>
  <c r="B418" i="4" s="1"/>
  <c r="E393" i="4"/>
  <c r="F393" i="4" s="1"/>
  <c r="B421" i="4" s="1"/>
  <c r="E404" i="4"/>
  <c r="G402" i="4"/>
  <c r="E350" i="4"/>
  <c r="F350" i="4" s="1"/>
  <c r="E397" i="4"/>
  <c r="F397" i="4" s="1"/>
  <c r="B425" i="4" s="1"/>
  <c r="E405" i="4"/>
  <c r="E266" i="4"/>
  <c r="K78" i="1"/>
  <c r="E401" i="4"/>
  <c r="G406" i="4"/>
  <c r="K84" i="1"/>
  <c r="F372" i="1"/>
  <c r="B402" i="1" s="1"/>
  <c r="K79" i="1"/>
  <c r="K86" i="1"/>
  <c r="F374" i="1"/>
  <c r="B404" i="1" s="1"/>
  <c r="H706" i="1"/>
  <c r="H716" i="1"/>
  <c r="H717" i="1"/>
  <c r="H718" i="1"/>
  <c r="H719" i="1"/>
  <c r="H720" i="1"/>
  <c r="G981" i="1"/>
  <c r="E958" i="1"/>
  <c r="F958" i="1" s="1"/>
  <c r="B993" i="1" s="1"/>
  <c r="E963" i="1"/>
  <c r="F963" i="1" s="1"/>
  <c r="B998" i="1" s="1"/>
  <c r="E814" i="1"/>
  <c r="F814" i="1" s="1"/>
  <c r="E808" i="1"/>
  <c r="F808" i="1" s="1"/>
  <c r="E813" i="1"/>
  <c r="F813" i="1" s="1"/>
  <c r="E807" i="1"/>
  <c r="F807" i="1" s="1"/>
  <c r="E806" i="1"/>
  <c r="F806" i="1" s="1"/>
  <c r="E811" i="1"/>
  <c r="F811" i="1" s="1"/>
  <c r="E805" i="1"/>
  <c r="F805" i="1" s="1"/>
  <c r="E810" i="1"/>
  <c r="F810" i="1" s="1"/>
  <c r="E812" i="1"/>
  <c r="F812" i="1" s="1"/>
  <c r="E804" i="1"/>
  <c r="F804" i="1" s="1"/>
  <c r="E809" i="1"/>
  <c r="F809" i="1" s="1"/>
  <c r="J19" i="4"/>
  <c r="E203" i="4"/>
  <c r="E258" i="4"/>
  <c r="E347" i="4"/>
  <c r="F347" i="4" s="1"/>
  <c r="I11" i="4"/>
  <c r="I17" i="4"/>
  <c r="B176" i="4"/>
  <c r="E209" i="4"/>
  <c r="E260" i="4"/>
  <c r="E348" i="4"/>
  <c r="F348" i="4" s="1"/>
  <c r="I10" i="4"/>
  <c r="J11" i="4"/>
  <c r="J17" i="4"/>
  <c r="J22" i="4"/>
  <c r="I23" i="4"/>
  <c r="J24" i="4"/>
  <c r="I32" i="4"/>
  <c r="E183" i="4"/>
  <c r="E195" i="4"/>
  <c r="E250" i="4"/>
  <c r="E262" i="4"/>
  <c r="E189" i="4"/>
  <c r="E201" i="4"/>
  <c r="E256" i="4"/>
  <c r="E268" i="4"/>
  <c r="E352" i="4"/>
  <c r="F352" i="4" s="1"/>
  <c r="F364" i="1"/>
  <c r="B394" i="1" s="1"/>
  <c r="J6" i="4"/>
  <c r="J18" i="4"/>
  <c r="J25" i="4"/>
  <c r="I33" i="4"/>
  <c r="C175" i="4"/>
  <c r="K181" i="4" s="1"/>
  <c r="L181" i="4" s="1"/>
  <c r="B311" i="4" s="1"/>
  <c r="E191" i="4"/>
  <c r="I22" i="4"/>
  <c r="I24" i="4"/>
  <c r="J33" i="4"/>
  <c r="E193" i="4"/>
  <c r="E248" i="4"/>
  <c r="I7" i="4"/>
  <c r="I9" i="4"/>
  <c r="J10" i="4"/>
  <c r="I12" i="4"/>
  <c r="I13" i="4"/>
  <c r="I14" i="4"/>
  <c r="I15" i="4"/>
  <c r="I16" i="4"/>
  <c r="I20" i="4"/>
  <c r="I21" i="4"/>
  <c r="J23" i="4"/>
  <c r="I27" i="4"/>
  <c r="E185" i="4"/>
  <c r="E197" i="4"/>
  <c r="E252" i="4"/>
  <c r="E264" i="4"/>
  <c r="E389" i="4"/>
  <c r="F389" i="4" s="1"/>
  <c r="B417" i="4" s="1"/>
  <c r="G404" i="4"/>
  <c r="K302" i="1"/>
  <c r="K305" i="1"/>
  <c r="F304" i="1"/>
  <c r="K303" i="1"/>
  <c r="F303" i="1"/>
  <c r="K304" i="1"/>
  <c r="F305" i="1"/>
  <c r="F302" i="1"/>
  <c r="F367" i="1"/>
  <c r="B397" i="1" s="1"/>
  <c r="F378" i="1"/>
  <c r="B408" i="1" s="1"/>
  <c r="H707" i="1"/>
  <c r="H708" i="1"/>
  <c r="H709" i="1"/>
  <c r="H710" i="1"/>
  <c r="H711" i="1"/>
  <c r="H714" i="1"/>
  <c r="F371" i="1"/>
  <c r="B401" i="1" s="1"/>
  <c r="F373" i="1"/>
  <c r="B403" i="1" s="1"/>
  <c r="F366" i="1"/>
  <c r="B396" i="1" s="1"/>
  <c r="H384" i="1"/>
  <c r="E396" i="1" s="1"/>
  <c r="H388" i="1"/>
  <c r="E403" i="1" s="1"/>
  <c r="E972" i="1"/>
  <c r="F972" i="1" s="1"/>
  <c r="B1007" i="1" s="1"/>
  <c r="E979" i="1"/>
  <c r="E985" i="1"/>
  <c r="H985" i="1" s="1"/>
  <c r="D1007" i="1" s="1"/>
  <c r="E976" i="1"/>
  <c r="E983" i="1"/>
  <c r="G980" i="1"/>
  <c r="G983" i="1"/>
  <c r="H382" i="1"/>
  <c r="H387" i="1"/>
  <c r="E402" i="1" s="1"/>
  <c r="E964" i="1"/>
  <c r="F964" i="1" s="1"/>
  <c r="B999" i="1" s="1"/>
  <c r="E966" i="1"/>
  <c r="F966" i="1" s="1"/>
  <c r="B1001" i="1" s="1"/>
  <c r="G979" i="1"/>
  <c r="G982" i="1"/>
  <c r="K81" i="1"/>
  <c r="E971" i="1"/>
  <c r="F971" i="1" s="1"/>
  <c r="B1006" i="1" s="1"/>
  <c r="G984" i="1"/>
  <c r="F556" i="1"/>
  <c r="G556" i="1" s="1"/>
  <c r="B593" i="1" s="1"/>
  <c r="F576" i="1"/>
  <c r="G576" i="1" s="1"/>
  <c r="E595" i="1" s="1"/>
  <c r="F861" i="1"/>
  <c r="G861" i="1" s="1"/>
  <c r="B884" i="1" s="1"/>
  <c r="E959" i="1"/>
  <c r="F959" i="1" s="1"/>
  <c r="B994" i="1" s="1"/>
  <c r="E967" i="1"/>
  <c r="F967" i="1" s="1"/>
  <c r="B1002" i="1" s="1"/>
  <c r="E980" i="1"/>
  <c r="E982" i="1"/>
  <c r="K83" i="1"/>
  <c r="F857" i="1"/>
  <c r="G857" i="1" s="1"/>
  <c r="B880" i="1" s="1"/>
  <c r="K553" i="1"/>
  <c r="P82" i="1"/>
  <c r="E645" i="1"/>
  <c r="J645" i="1" s="1"/>
  <c r="B669" i="1" s="1"/>
  <c r="B868" i="1"/>
  <c r="G868" i="1" s="1"/>
  <c r="B934" i="1" s="1"/>
  <c r="F902" i="1"/>
  <c r="G902" i="1" s="1"/>
  <c r="B924" i="1" s="1"/>
  <c r="E439" i="1"/>
  <c r="F567" i="1"/>
  <c r="G567" i="1" s="1"/>
  <c r="E586" i="1" s="1"/>
  <c r="E639" i="1"/>
  <c r="J639" i="1" s="1"/>
  <c r="B663" i="1" s="1"/>
  <c r="F856" i="1"/>
  <c r="G856" i="1" s="1"/>
  <c r="B879" i="1" s="1"/>
  <c r="K549" i="1"/>
  <c r="F548" i="1"/>
  <c r="F550" i="1"/>
  <c r="F568" i="1"/>
  <c r="G568" i="1" s="1"/>
  <c r="E587" i="1" s="1"/>
  <c r="F571" i="1"/>
  <c r="G571" i="1" s="1"/>
  <c r="E590" i="1" s="1"/>
  <c r="E609" i="1"/>
  <c r="H609" i="1" s="1"/>
  <c r="E618" i="1" s="1"/>
  <c r="G896" i="1"/>
  <c r="F898" i="1"/>
  <c r="G898" i="1" s="1"/>
  <c r="B920" i="1" s="1"/>
  <c r="K87" i="1"/>
  <c r="H385" i="1"/>
  <c r="E401" i="1" s="1"/>
  <c r="H389" i="1"/>
  <c r="E407" i="1" s="1"/>
  <c r="G610" i="1"/>
  <c r="F854" i="1"/>
  <c r="G854" i="1" s="1"/>
  <c r="B877" i="1" s="1"/>
  <c r="I429" i="1"/>
  <c r="I439" i="1"/>
  <c r="K547" i="1"/>
  <c r="F573" i="1"/>
  <c r="G573" i="1" s="1"/>
  <c r="E592" i="1" s="1"/>
  <c r="J753" i="1"/>
  <c r="K753" i="1" s="1"/>
  <c r="G772" i="1" s="1"/>
  <c r="F546" i="1"/>
  <c r="K85" i="1"/>
  <c r="I428" i="1"/>
  <c r="E438" i="1"/>
  <c r="F570" i="1"/>
  <c r="G570" i="1" s="1"/>
  <c r="E589" i="1" s="1"/>
  <c r="F547" i="1"/>
  <c r="K548" i="1"/>
  <c r="F577" i="1"/>
  <c r="G577" i="1" s="1"/>
  <c r="E596" i="1" s="1"/>
  <c r="E610" i="1"/>
  <c r="E643" i="1"/>
  <c r="J643" i="1" s="1"/>
  <c r="B667" i="1" s="1"/>
  <c r="E667" i="1" s="1"/>
  <c r="E786" i="1"/>
  <c r="F786" i="1" s="1"/>
  <c r="E788" i="1"/>
  <c r="F788" i="1" s="1"/>
  <c r="E790" i="1"/>
  <c r="F790" i="1" s="1"/>
  <c r="E792" i="1"/>
  <c r="F792" i="1" s="1"/>
  <c r="E794" i="1"/>
  <c r="F794" i="1" s="1"/>
  <c r="B870" i="1"/>
  <c r="F565" i="1"/>
  <c r="G565" i="1" s="1"/>
  <c r="E584" i="1" s="1"/>
  <c r="E437" i="1"/>
  <c r="F575" i="1"/>
  <c r="G575" i="1" s="1"/>
  <c r="E594" i="1" s="1"/>
  <c r="P77" i="1"/>
  <c r="F365" i="1"/>
  <c r="B395" i="1" s="1"/>
  <c r="F377" i="1"/>
  <c r="B407" i="1" s="1"/>
  <c r="F553" i="1"/>
  <c r="K546" i="1"/>
  <c r="F549" i="1"/>
  <c r="E604" i="1"/>
  <c r="F604" i="1" s="1"/>
  <c r="B618" i="1" s="1"/>
  <c r="E605" i="1"/>
  <c r="F605" i="1" s="1"/>
  <c r="B619" i="1" s="1"/>
  <c r="E642" i="1"/>
  <c r="J642" i="1" s="1"/>
  <c r="B666" i="1" s="1"/>
  <c r="E785" i="1"/>
  <c r="F785" i="1" s="1"/>
  <c r="E787" i="1"/>
  <c r="F787" i="1" s="1"/>
  <c r="E789" i="1"/>
  <c r="F789" i="1" s="1"/>
  <c r="E791" i="1"/>
  <c r="F791" i="1" s="1"/>
  <c r="E793" i="1"/>
  <c r="F793" i="1" s="1"/>
  <c r="G892" i="1"/>
  <c r="F901" i="1"/>
  <c r="G901" i="1" s="1"/>
  <c r="B923" i="1" s="1"/>
  <c r="E965" i="1"/>
  <c r="F965" i="1" s="1"/>
  <c r="E968" i="1"/>
  <c r="F968" i="1" s="1"/>
  <c r="B1003" i="1" s="1"/>
  <c r="G976" i="1"/>
  <c r="E981" i="1"/>
  <c r="E984" i="1"/>
  <c r="C176" i="4"/>
  <c r="K246" i="4" s="1"/>
  <c r="L246" i="4" s="1"/>
  <c r="D311" i="4" s="1"/>
  <c r="E247" i="4"/>
  <c r="E249" i="4"/>
  <c r="E251" i="4"/>
  <c r="E253" i="4"/>
  <c r="E255" i="4"/>
  <c r="E257" i="4"/>
  <c r="E259" i="4"/>
  <c r="E261" i="4"/>
  <c r="E263" i="4"/>
  <c r="E265" i="4"/>
  <c r="E267" i="4"/>
  <c r="E273" i="4"/>
  <c r="B344" i="4"/>
  <c r="B175" i="4"/>
  <c r="E182" i="4"/>
  <c r="E184" i="4"/>
  <c r="E186" i="4"/>
  <c r="E188" i="4"/>
  <c r="E190" i="4"/>
  <c r="E192" i="4"/>
  <c r="E194" i="4"/>
  <c r="E196" i="4"/>
  <c r="E198" i="4"/>
  <c r="E200" i="4"/>
  <c r="E202" i="4"/>
  <c r="E208" i="4"/>
  <c r="E356" i="4"/>
  <c r="F356" i="4" s="1"/>
  <c r="E357" i="4"/>
  <c r="F357" i="4" s="1"/>
  <c r="E355" i="4"/>
  <c r="F355" i="4" s="1"/>
  <c r="E353" i="4"/>
  <c r="F353" i="4" s="1"/>
  <c r="E351" i="4"/>
  <c r="F351" i="4" s="1"/>
  <c r="E354" i="4"/>
  <c r="F354" i="4" s="1"/>
  <c r="E402" i="4"/>
  <c r="G403" i="4"/>
  <c r="E406" i="4"/>
  <c r="G407" i="4"/>
  <c r="E367" i="4"/>
  <c r="F367" i="4" s="1"/>
  <c r="E369" i="4"/>
  <c r="F369" i="4" s="1"/>
  <c r="E371" i="4"/>
  <c r="F371" i="4" s="1"/>
  <c r="E373" i="4"/>
  <c r="F373" i="4" s="1"/>
  <c r="G405" i="4"/>
  <c r="E366" i="4"/>
  <c r="F366" i="4" s="1"/>
  <c r="E368" i="4"/>
  <c r="F368" i="4" s="1"/>
  <c r="E370" i="4"/>
  <c r="F370" i="4" s="1"/>
  <c r="E372" i="4"/>
  <c r="F372" i="4" s="1"/>
  <c r="E374" i="4"/>
  <c r="F374" i="4" s="1"/>
  <c r="B32" i="3"/>
  <c r="F63" i="3"/>
  <c r="B867" i="1"/>
  <c r="G867" i="1" s="1"/>
  <c r="B933" i="1" s="1"/>
  <c r="B869" i="1"/>
  <c r="B871" i="1"/>
  <c r="B873" i="1"/>
  <c r="F853" i="1"/>
  <c r="G853" i="1" s="1"/>
  <c r="B876" i="1" s="1"/>
  <c r="F859" i="1"/>
  <c r="G859" i="1" s="1"/>
  <c r="B882" i="1" s="1"/>
  <c r="F899" i="1"/>
  <c r="G899" i="1" s="1"/>
  <c r="B921" i="1" s="1"/>
  <c r="F906" i="1"/>
  <c r="G906" i="1" s="1"/>
  <c r="B928" i="1" s="1"/>
  <c r="B872" i="1"/>
  <c r="B874" i="1"/>
  <c r="F904" i="1"/>
  <c r="G904" i="1" s="1"/>
  <c r="B926" i="1" s="1"/>
  <c r="G889" i="1"/>
  <c r="G890" i="1"/>
  <c r="G891" i="1"/>
  <c r="G893" i="1"/>
  <c r="G894" i="1"/>
  <c r="G895" i="1"/>
  <c r="E655" i="1"/>
  <c r="K655" i="1" s="1"/>
  <c r="D666" i="1" s="1"/>
  <c r="E653" i="1"/>
  <c r="K653" i="1" s="1"/>
  <c r="D664" i="1" s="1"/>
  <c r="E658" i="1"/>
  <c r="K658" i="1" s="1"/>
  <c r="D669" i="1" s="1"/>
  <c r="E640" i="1"/>
  <c r="J640" i="1" s="1"/>
  <c r="B664" i="1" s="1"/>
  <c r="E652" i="1"/>
  <c r="K652" i="1" s="1"/>
  <c r="D663" i="1" s="1"/>
  <c r="F552" i="1"/>
  <c r="F572" i="1"/>
  <c r="G572" i="1" s="1"/>
  <c r="E591" i="1" s="1"/>
  <c r="F574" i="1"/>
  <c r="G574" i="1" s="1"/>
  <c r="E593" i="1" s="1"/>
  <c r="F551" i="1"/>
  <c r="F555" i="1"/>
  <c r="G555" i="1" s="1"/>
  <c r="B592" i="1" s="1"/>
  <c r="F557" i="1"/>
  <c r="G557" i="1" s="1"/>
  <c r="B594" i="1" s="1"/>
  <c r="F559" i="1"/>
  <c r="G559" i="1" s="1"/>
  <c r="B596" i="1" s="1"/>
  <c r="F566" i="1"/>
  <c r="G566" i="1" s="1"/>
  <c r="E585" i="1" s="1"/>
  <c r="F569" i="1"/>
  <c r="G569" i="1" s="1"/>
  <c r="E588" i="1" s="1"/>
  <c r="K551" i="1"/>
  <c r="F554" i="1"/>
  <c r="G554" i="1" s="1"/>
  <c r="B591" i="1" s="1"/>
  <c r="F558" i="1"/>
  <c r="G558" i="1" s="1"/>
  <c r="B595" i="1" s="1"/>
  <c r="K552" i="1"/>
  <c r="K550" i="1"/>
  <c r="F564" i="1"/>
  <c r="G564" i="1" s="1"/>
  <c r="E583" i="1" s="1"/>
  <c r="E430" i="1"/>
  <c r="I438" i="1"/>
  <c r="E429" i="1"/>
  <c r="I437" i="1"/>
  <c r="E428" i="1"/>
  <c r="I430" i="1"/>
  <c r="S77" i="1"/>
  <c r="T77" i="1"/>
  <c r="T82" i="1"/>
  <c r="Q77" i="1"/>
  <c r="Q82" i="1"/>
  <c r="R77" i="1"/>
  <c r="R82" i="1"/>
  <c r="S82" i="1"/>
  <c r="K77" i="1"/>
  <c r="K82" i="1"/>
  <c r="B110" i="3"/>
  <c r="B54" i="1"/>
  <c r="B210" i="1"/>
  <c r="E258" i="1" s="1"/>
  <c r="B97" i="1"/>
  <c r="B677" i="1"/>
  <c r="B141" i="1"/>
  <c r="F869" i="1"/>
  <c r="H911" i="1"/>
  <c r="F160" i="3" l="1"/>
  <c r="F162" i="3"/>
  <c r="F159" i="3"/>
  <c r="F165" i="3"/>
  <c r="F168" i="3"/>
  <c r="F171" i="3"/>
  <c r="G147" i="3"/>
  <c r="G149" i="3" s="1"/>
  <c r="F169" i="3"/>
  <c r="D188" i="3" s="1"/>
  <c r="F126" i="3"/>
  <c r="F120" i="3"/>
  <c r="F124" i="3"/>
  <c r="F129" i="3"/>
  <c r="F123" i="3"/>
  <c r="F132" i="3"/>
  <c r="F483" i="1"/>
  <c r="I51" i="1"/>
  <c r="J49" i="1"/>
  <c r="J51" i="1"/>
  <c r="J43" i="1"/>
  <c r="I46" i="1"/>
  <c r="J46" i="1"/>
  <c r="I49" i="1"/>
  <c r="I43" i="1"/>
  <c r="E668" i="1"/>
  <c r="E669" i="1"/>
  <c r="E666" i="1"/>
  <c r="E664" i="1"/>
  <c r="F471" i="1"/>
  <c r="F496" i="1"/>
  <c r="F494" i="1"/>
  <c r="K486" i="1"/>
  <c r="F489" i="1"/>
  <c r="F492" i="1"/>
  <c r="F485" i="1"/>
  <c r="F490" i="1"/>
  <c r="L490" i="1" s="1"/>
  <c r="K311" i="4"/>
  <c r="M311" i="4"/>
  <c r="E311" i="4"/>
  <c r="L311" i="4"/>
  <c r="N311" i="4"/>
  <c r="O311" i="4"/>
  <c r="H401" i="4"/>
  <c r="D416" i="4" s="1"/>
  <c r="S26" i="4"/>
  <c r="L7" i="4"/>
  <c r="H407" i="4"/>
  <c r="D424" i="4" s="1"/>
  <c r="T9" i="4"/>
  <c r="P19" i="4"/>
  <c r="F255" i="4"/>
  <c r="K287" i="4" s="1"/>
  <c r="G320" i="4" s="1"/>
  <c r="F267" i="4"/>
  <c r="I299" i="4" s="1"/>
  <c r="D332" i="4" s="1"/>
  <c r="P32" i="4"/>
  <c r="Q19" i="4"/>
  <c r="F495" i="1"/>
  <c r="F488" i="1"/>
  <c r="F497" i="1"/>
  <c r="F487" i="1"/>
  <c r="K493" i="1"/>
  <c r="K487" i="1"/>
  <c r="F491" i="1"/>
  <c r="F484" i="1"/>
  <c r="F472" i="1"/>
  <c r="F486" i="1"/>
  <c r="L486" i="1" s="1"/>
  <c r="E505" i="1" s="1"/>
  <c r="K495" i="1"/>
  <c r="F466" i="1"/>
  <c r="K470" i="1"/>
  <c r="F475" i="1"/>
  <c r="F473" i="1"/>
  <c r="F477" i="1"/>
  <c r="F465" i="1"/>
  <c r="F478" i="1"/>
  <c r="F468" i="1"/>
  <c r="F464" i="1"/>
  <c r="F474" i="1"/>
  <c r="F476" i="1"/>
  <c r="F467" i="1"/>
  <c r="B678" i="1"/>
  <c r="E732" i="1" s="1"/>
  <c r="F469" i="1"/>
  <c r="K468" i="1"/>
  <c r="K477" i="1"/>
  <c r="K471" i="1"/>
  <c r="F493" i="1"/>
  <c r="L493" i="1" s="1"/>
  <c r="K467" i="1"/>
  <c r="K476" i="1"/>
  <c r="K464" i="1"/>
  <c r="K466" i="1"/>
  <c r="K469" i="1"/>
  <c r="K473" i="1"/>
  <c r="K472" i="1"/>
  <c r="K465" i="1"/>
  <c r="K474" i="1"/>
  <c r="K475" i="1"/>
  <c r="K489" i="1"/>
  <c r="F470" i="1"/>
  <c r="K478" i="1"/>
  <c r="K492" i="1"/>
  <c r="K484" i="1"/>
  <c r="L484" i="1" s="1"/>
  <c r="E503" i="1" s="1"/>
  <c r="K491" i="1"/>
  <c r="K496" i="1"/>
  <c r="K497" i="1"/>
  <c r="K488" i="1"/>
  <c r="K483" i="1"/>
  <c r="L483" i="1" s="1"/>
  <c r="E518" i="1" s="1"/>
  <c r="K494" i="1"/>
  <c r="K485" i="1"/>
  <c r="L485" i="1" s="1"/>
  <c r="E504" i="1" s="1"/>
  <c r="J80" i="3"/>
  <c r="J84" i="3"/>
  <c r="J82" i="3"/>
  <c r="J83" i="3"/>
  <c r="J81" i="3"/>
  <c r="C35" i="3"/>
  <c r="B35" i="3"/>
  <c r="J56" i="3"/>
  <c r="J57" i="3"/>
  <c r="J58" i="3"/>
  <c r="J59" i="3"/>
  <c r="J60" i="3"/>
  <c r="F263" i="4"/>
  <c r="K295" i="4" s="1"/>
  <c r="G328" i="4" s="1"/>
  <c r="F251" i="4"/>
  <c r="I283" i="4" s="1"/>
  <c r="D316" i="4" s="1"/>
  <c r="T27" i="4"/>
  <c r="Q20" i="4"/>
  <c r="S25" i="4"/>
  <c r="T14" i="4"/>
  <c r="S32" i="4"/>
  <c r="Q32" i="4"/>
  <c r="L32" i="4"/>
  <c r="T21" i="4"/>
  <c r="S16" i="4"/>
  <c r="P5" i="4"/>
  <c r="T5" i="4"/>
  <c r="Q5" i="4"/>
  <c r="L5" i="4"/>
  <c r="R5" i="4"/>
  <c r="S5" i="4"/>
  <c r="H404" i="4"/>
  <c r="D426" i="4" s="1"/>
  <c r="S15" i="4"/>
  <c r="L19" i="4"/>
  <c r="L29" i="4"/>
  <c r="F207" i="4"/>
  <c r="I239" i="4" s="1"/>
  <c r="F204" i="4"/>
  <c r="L26" i="4"/>
  <c r="S19" i="4"/>
  <c r="P26" i="4"/>
  <c r="Q26" i="4"/>
  <c r="R26" i="4"/>
  <c r="L6" i="4"/>
  <c r="R19" i="4"/>
  <c r="F264" i="4"/>
  <c r="K296" i="4" s="1"/>
  <c r="G329" i="4" s="1"/>
  <c r="R6" i="4"/>
  <c r="R27" i="4"/>
  <c r="F265" i="4"/>
  <c r="K297" i="4" s="1"/>
  <c r="G330" i="4" s="1"/>
  <c r="F253" i="4"/>
  <c r="K285" i="4" s="1"/>
  <c r="G318" i="4" s="1"/>
  <c r="L27" i="4"/>
  <c r="R12" i="4"/>
  <c r="P667" i="1"/>
  <c r="Q23" i="4"/>
  <c r="F269" i="4"/>
  <c r="S18" i="4"/>
  <c r="P22" i="4"/>
  <c r="F270" i="4"/>
  <c r="F206" i="4"/>
  <c r="F205" i="4"/>
  <c r="F272" i="4"/>
  <c r="F271" i="4"/>
  <c r="H980" i="1"/>
  <c r="D999" i="1" s="1"/>
  <c r="E999" i="1" s="1"/>
  <c r="F999" i="1" s="1"/>
  <c r="T24" i="4"/>
  <c r="Q8" i="4"/>
  <c r="T16" i="4"/>
  <c r="P27" i="4"/>
  <c r="P9" i="4"/>
  <c r="P16" i="4"/>
  <c r="Q30" i="4"/>
  <c r="P30" i="4"/>
  <c r="S30" i="4"/>
  <c r="R30" i="4"/>
  <c r="T30" i="4"/>
  <c r="L30" i="4"/>
  <c r="J110" i="4"/>
  <c r="J111" i="4"/>
  <c r="E109" i="4"/>
  <c r="E112" i="4"/>
  <c r="E111" i="4"/>
  <c r="J109" i="4"/>
  <c r="J112" i="4"/>
  <c r="E110" i="4"/>
  <c r="E417" i="4"/>
  <c r="F417" i="4" s="1"/>
  <c r="Q16" i="4"/>
  <c r="R22" i="4"/>
  <c r="L18" i="4"/>
  <c r="E424" i="4"/>
  <c r="F424" i="4" s="1"/>
  <c r="L9" i="4"/>
  <c r="T26" i="4"/>
  <c r="S28" i="4"/>
  <c r="Q28" i="4"/>
  <c r="L28" i="4"/>
  <c r="P28" i="4"/>
  <c r="R28" i="4"/>
  <c r="T28" i="4"/>
  <c r="Q29" i="4"/>
  <c r="R29" i="4"/>
  <c r="T29" i="4"/>
  <c r="S29" i="4"/>
  <c r="P29" i="4"/>
  <c r="Q10" i="4"/>
  <c r="S31" i="4"/>
  <c r="Q31" i="4"/>
  <c r="R31" i="4"/>
  <c r="L31" i="4"/>
  <c r="T31" i="4"/>
  <c r="P31" i="4"/>
  <c r="E62" i="4"/>
  <c r="J79" i="4"/>
  <c r="E77" i="4"/>
  <c r="E79" i="4"/>
  <c r="J76" i="4"/>
  <c r="J78" i="4"/>
  <c r="E76" i="4"/>
  <c r="E78" i="4"/>
  <c r="J77" i="4"/>
  <c r="Q15" i="4"/>
  <c r="P15" i="4"/>
  <c r="Q18" i="4"/>
  <c r="L21" i="4"/>
  <c r="S13" i="4"/>
  <c r="P25" i="4"/>
  <c r="P23" i="4"/>
  <c r="S8" i="4"/>
  <c r="T13" i="4"/>
  <c r="T7" i="4"/>
  <c r="E253" i="1"/>
  <c r="E256" i="1"/>
  <c r="E236" i="1"/>
  <c r="E250" i="1"/>
  <c r="E231" i="1"/>
  <c r="E234" i="1"/>
  <c r="E228" i="1"/>
  <c r="P8" i="4"/>
  <c r="F260" i="4"/>
  <c r="I292" i="4" s="1"/>
  <c r="D325" i="4" s="1"/>
  <c r="F258" i="4"/>
  <c r="K290" i="4" s="1"/>
  <c r="G323" i="4" s="1"/>
  <c r="T8" i="4"/>
  <c r="L8" i="4"/>
  <c r="F262" i="4"/>
  <c r="K294" i="4" s="1"/>
  <c r="G327" i="4" s="1"/>
  <c r="H403" i="4"/>
  <c r="D419" i="4" s="1"/>
  <c r="E419" i="4" s="1"/>
  <c r="F419" i="4" s="1"/>
  <c r="S10" i="4"/>
  <c r="S6" i="4"/>
  <c r="F268" i="4"/>
  <c r="I300" i="4" s="1"/>
  <c r="D333" i="4" s="1"/>
  <c r="R8" i="4"/>
  <c r="P11" i="4"/>
  <c r="H402" i="4"/>
  <c r="D418" i="4" s="1"/>
  <c r="E418" i="4" s="1"/>
  <c r="F418" i="4" s="1"/>
  <c r="G547" i="1"/>
  <c r="B584" i="1" s="1"/>
  <c r="F584" i="1" s="1"/>
  <c r="F402" i="1"/>
  <c r="L23" i="4"/>
  <c r="E425" i="4"/>
  <c r="F425" i="4" s="1"/>
  <c r="H405" i="4"/>
  <c r="D421" i="4" s="1"/>
  <c r="E421" i="4" s="1"/>
  <c r="F421" i="4" s="1"/>
  <c r="F254" i="4"/>
  <c r="K286" i="4" s="1"/>
  <c r="G319" i="4" s="1"/>
  <c r="L10" i="4"/>
  <c r="P14" i="4"/>
  <c r="Q17" i="4"/>
  <c r="S33" i="4"/>
  <c r="R23" i="4"/>
  <c r="P7" i="4"/>
  <c r="S7" i="4"/>
  <c r="R15" i="4"/>
  <c r="H981" i="1"/>
  <c r="D1005" i="1" s="1"/>
  <c r="E1005" i="1" s="1"/>
  <c r="F1005" i="1" s="1"/>
  <c r="R7" i="4"/>
  <c r="T11" i="4"/>
  <c r="F266" i="4"/>
  <c r="L15" i="4"/>
  <c r="Q7" i="4"/>
  <c r="P33" i="4"/>
  <c r="T15" i="4"/>
  <c r="T10" i="4"/>
  <c r="Q25" i="4"/>
  <c r="L84" i="1"/>
  <c r="P17" i="4"/>
  <c r="P10" i="4"/>
  <c r="Q27" i="4"/>
  <c r="P18" i="4"/>
  <c r="R25" i="4"/>
  <c r="R10" i="4"/>
  <c r="R32" i="4"/>
  <c r="T25" i="4"/>
  <c r="H406" i="4"/>
  <c r="D422" i="4" s="1"/>
  <c r="E422" i="4" s="1"/>
  <c r="F422" i="4" s="1"/>
  <c r="L16" i="4"/>
  <c r="R16" i="4"/>
  <c r="S9" i="4"/>
  <c r="R17" i="4"/>
  <c r="L25" i="4"/>
  <c r="T19" i="4"/>
  <c r="S27" i="4"/>
  <c r="Q9" i="4"/>
  <c r="R18" i="4"/>
  <c r="H983" i="1"/>
  <c r="D1002" i="1" s="1"/>
  <c r="E1002" i="1" s="1"/>
  <c r="F1002" i="1" s="1"/>
  <c r="E398" i="1"/>
  <c r="F398" i="1" s="1"/>
  <c r="F399" i="1"/>
  <c r="H979" i="1"/>
  <c r="D998" i="1" s="1"/>
  <c r="E998" i="1" s="1"/>
  <c r="F998" i="1" s="1"/>
  <c r="E1007" i="1"/>
  <c r="F1007" i="1" s="1"/>
  <c r="L81" i="1"/>
  <c r="L302" i="1"/>
  <c r="B342" i="1" s="1"/>
  <c r="F342" i="1" s="1"/>
  <c r="Q14" i="4"/>
  <c r="P24" i="4"/>
  <c r="P13" i="4"/>
  <c r="B426" i="4"/>
  <c r="F261" i="4"/>
  <c r="I293" i="4" s="1"/>
  <c r="D326" i="4" s="1"/>
  <c r="F249" i="4"/>
  <c r="K281" i="4" s="1"/>
  <c r="G314" i="4" s="1"/>
  <c r="L13" i="4"/>
  <c r="F250" i="4"/>
  <c r="I282" i="4" s="1"/>
  <c r="D315" i="4" s="1"/>
  <c r="R14" i="4"/>
  <c r="L24" i="4"/>
  <c r="S17" i="4"/>
  <c r="Q12" i="4"/>
  <c r="F256" i="4"/>
  <c r="K288" i="4" s="1"/>
  <c r="G321" i="4" s="1"/>
  <c r="P20" i="4"/>
  <c r="T12" i="4"/>
  <c r="R11" i="4"/>
  <c r="Q24" i="4"/>
  <c r="T17" i="4"/>
  <c r="S14" i="4"/>
  <c r="L14" i="4"/>
  <c r="T20" i="4"/>
  <c r="L20" i="4"/>
  <c r="S20" i="4"/>
  <c r="E416" i="4"/>
  <c r="F416" i="4" s="1"/>
  <c r="F259" i="4"/>
  <c r="K291" i="4" s="1"/>
  <c r="G324" i="4" s="1"/>
  <c r="F247" i="4"/>
  <c r="K279" i="4" s="1"/>
  <c r="G312" i="4" s="1"/>
  <c r="L12" i="4"/>
  <c r="P21" i="4"/>
  <c r="R13" i="4"/>
  <c r="L17" i="4"/>
  <c r="Q11" i="4"/>
  <c r="T6" i="4"/>
  <c r="F252" i="4"/>
  <c r="K284" i="4" s="1"/>
  <c r="G317" i="4" s="1"/>
  <c r="P12" i="4"/>
  <c r="T23" i="4"/>
  <c r="S11" i="4"/>
  <c r="L11" i="4"/>
  <c r="R20" i="4"/>
  <c r="S12" i="4"/>
  <c r="Q6" i="4"/>
  <c r="T22" i="4"/>
  <c r="S22" i="4"/>
  <c r="L22" i="4"/>
  <c r="S24" i="4"/>
  <c r="Q13" i="4"/>
  <c r="R21" i="4"/>
  <c r="L33" i="4"/>
  <c r="T33" i="4"/>
  <c r="Q21" i="4"/>
  <c r="F257" i="4"/>
  <c r="I289" i="4" s="1"/>
  <c r="D322" i="4" s="1"/>
  <c r="T32" i="4"/>
  <c r="S21" i="4"/>
  <c r="P6" i="4"/>
  <c r="F248" i="4"/>
  <c r="K280" i="4" s="1"/>
  <c r="G313" i="4" s="1"/>
  <c r="R33" i="4"/>
  <c r="R24" i="4"/>
  <c r="F396" i="1"/>
  <c r="Q33" i="4"/>
  <c r="Q22" i="4"/>
  <c r="R9" i="4"/>
  <c r="T18" i="4"/>
  <c r="S23" i="4"/>
  <c r="E157" i="1"/>
  <c r="E177" i="1"/>
  <c r="J156" i="1"/>
  <c r="J177" i="1"/>
  <c r="E156" i="1"/>
  <c r="L305" i="1"/>
  <c r="B345" i="1" s="1"/>
  <c r="F345" i="1" s="1"/>
  <c r="L304" i="1"/>
  <c r="B344" i="1" s="1"/>
  <c r="F344" i="1" s="1"/>
  <c r="L303" i="1"/>
  <c r="B343" i="1" s="1"/>
  <c r="E232" i="1"/>
  <c r="F325" i="1"/>
  <c r="K324" i="1"/>
  <c r="K322" i="1"/>
  <c r="K323" i="1"/>
  <c r="F322" i="1"/>
  <c r="F324" i="1"/>
  <c r="K325" i="1"/>
  <c r="F323" i="1"/>
  <c r="F403" i="1"/>
  <c r="G553" i="1"/>
  <c r="B590" i="1" s="1"/>
  <c r="P590" i="1" s="1"/>
  <c r="G549" i="1"/>
  <c r="B586" i="1" s="1"/>
  <c r="T586" i="1" s="1"/>
  <c r="J178" i="1"/>
  <c r="E178" i="1"/>
  <c r="J157" i="1"/>
  <c r="F69" i="3"/>
  <c r="F51" i="3"/>
  <c r="F48" i="3"/>
  <c r="J55" i="3"/>
  <c r="F45" i="3"/>
  <c r="F72" i="3"/>
  <c r="F42" i="3"/>
  <c r="J79" i="3"/>
  <c r="F75" i="3"/>
  <c r="F66" i="3"/>
  <c r="Q593" i="1"/>
  <c r="H976" i="1"/>
  <c r="D994" i="1" s="1"/>
  <c r="E994" i="1" s="1"/>
  <c r="F994" i="1" s="1"/>
  <c r="E397" i="1"/>
  <c r="F397" i="1" s="1"/>
  <c r="B917" i="1"/>
  <c r="G550" i="1"/>
  <c r="B587" i="1" s="1"/>
  <c r="T587" i="1" s="1"/>
  <c r="B911" i="1"/>
  <c r="I911" i="1" s="1"/>
  <c r="D933" i="1" s="1"/>
  <c r="Q933" i="1" s="1"/>
  <c r="R663" i="1"/>
  <c r="H984" i="1"/>
  <c r="D1006" i="1" s="1"/>
  <c r="E1006" i="1" s="1"/>
  <c r="F1006" i="1" s="1"/>
  <c r="H982" i="1"/>
  <c r="D1001" i="1" s="1"/>
  <c r="E1001" i="1" s="1"/>
  <c r="F1001" i="1" s="1"/>
  <c r="E395" i="1"/>
  <c r="F395" i="1" s="1"/>
  <c r="H610" i="1"/>
  <c r="E619" i="1" s="1"/>
  <c r="S619" i="1" s="1"/>
  <c r="P669" i="1"/>
  <c r="E394" i="1"/>
  <c r="Q394" i="1" s="1"/>
  <c r="L83" i="1"/>
  <c r="H110" i="1"/>
  <c r="D110" i="1"/>
  <c r="H107" i="1"/>
  <c r="D107" i="1"/>
  <c r="G548" i="1"/>
  <c r="B585" i="1" s="1"/>
  <c r="F585" i="1" s="1"/>
  <c r="J439" i="1"/>
  <c r="E446" i="1" s="1"/>
  <c r="E404" i="1"/>
  <c r="F404" i="1" s="1"/>
  <c r="J429" i="1"/>
  <c r="B445" i="1" s="1"/>
  <c r="R669" i="1"/>
  <c r="B912" i="1"/>
  <c r="B914" i="1"/>
  <c r="J438" i="1"/>
  <c r="E445" i="1" s="1"/>
  <c r="J428" i="1"/>
  <c r="B444" i="1" s="1"/>
  <c r="T666" i="1"/>
  <c r="B915" i="1"/>
  <c r="B918" i="1"/>
  <c r="B916" i="1"/>
  <c r="F407" i="1"/>
  <c r="S669" i="1"/>
  <c r="B913" i="1"/>
  <c r="F401" i="1"/>
  <c r="S401" i="1"/>
  <c r="P401" i="1"/>
  <c r="J437" i="1"/>
  <c r="E444" i="1" s="1"/>
  <c r="Q667" i="1"/>
  <c r="Q666" i="1"/>
  <c r="E408" i="1"/>
  <c r="F408" i="1" s="1"/>
  <c r="J184" i="1"/>
  <c r="E158" i="1"/>
  <c r="E159" i="1"/>
  <c r="R667" i="1"/>
  <c r="S667" i="1"/>
  <c r="T667" i="1"/>
  <c r="P666" i="1"/>
  <c r="J430" i="1"/>
  <c r="B446" i="1" s="1"/>
  <c r="J98" i="4"/>
  <c r="J55" i="4"/>
  <c r="C47" i="4"/>
  <c r="K53" i="4" s="1"/>
  <c r="L53" i="4" s="1"/>
  <c r="B119" i="4" s="1"/>
  <c r="J81" i="4"/>
  <c r="S618" i="1"/>
  <c r="F618" i="1"/>
  <c r="R618" i="1"/>
  <c r="Q618" i="1"/>
  <c r="T618" i="1"/>
  <c r="P618" i="1"/>
  <c r="F203" i="4"/>
  <c r="F201" i="4"/>
  <c r="F199" i="4"/>
  <c r="F197" i="4"/>
  <c r="F195" i="4"/>
  <c r="F193" i="4"/>
  <c r="F191" i="4"/>
  <c r="F189" i="4"/>
  <c r="F187" i="4"/>
  <c r="F185" i="4"/>
  <c r="F183" i="4"/>
  <c r="F200" i="4"/>
  <c r="F196" i="4"/>
  <c r="F192" i="4"/>
  <c r="F188" i="4"/>
  <c r="F184" i="4"/>
  <c r="F202" i="4"/>
  <c r="F198" i="4"/>
  <c r="F194" i="4"/>
  <c r="F190" i="4"/>
  <c r="F186" i="4"/>
  <c r="F182" i="4"/>
  <c r="G546" i="1"/>
  <c r="B583" i="1" s="1"/>
  <c r="F583" i="1" s="1"/>
  <c r="Q669" i="1"/>
  <c r="R666" i="1"/>
  <c r="B1000" i="1"/>
  <c r="B1008" i="1"/>
  <c r="L85" i="1"/>
  <c r="R401" i="1"/>
  <c r="E663" i="1"/>
  <c r="J114" i="4"/>
  <c r="E182" i="1"/>
  <c r="E153" i="1"/>
  <c r="E65" i="4"/>
  <c r="E98" i="4"/>
  <c r="E176" i="1"/>
  <c r="J154" i="1"/>
  <c r="E154" i="1"/>
  <c r="J155" i="1"/>
  <c r="E185" i="1"/>
  <c r="E114" i="4"/>
  <c r="B47" i="4"/>
  <c r="J180" i="1"/>
  <c r="B144" i="1"/>
  <c r="J151" i="1"/>
  <c r="C145" i="1"/>
  <c r="J162" i="1"/>
  <c r="J164" i="1"/>
  <c r="J183" i="1"/>
  <c r="J150" i="1"/>
  <c r="E162" i="1"/>
  <c r="E175" i="1"/>
  <c r="J160" i="1"/>
  <c r="J163" i="1"/>
  <c r="B24" i="3"/>
  <c r="K24" i="3"/>
  <c r="L24" i="3"/>
  <c r="F49" i="3"/>
  <c r="F44" i="3"/>
  <c r="F52" i="3"/>
  <c r="F47" i="3"/>
  <c r="F50" i="3"/>
  <c r="F43" i="3"/>
  <c r="F46" i="3"/>
  <c r="F53" i="3"/>
  <c r="J38" i="3"/>
  <c r="B36" i="3" s="1"/>
  <c r="K38" i="3"/>
  <c r="I38" i="3"/>
  <c r="K37" i="3"/>
  <c r="I37" i="3"/>
  <c r="J37" i="3"/>
  <c r="C36" i="3" s="1"/>
  <c r="B15" i="1"/>
  <c r="J70" i="4"/>
  <c r="E89" i="4"/>
  <c r="E87" i="4"/>
  <c r="C48" i="4"/>
  <c r="K86" i="4" s="1"/>
  <c r="E99" i="4"/>
  <c r="J103" i="4"/>
  <c r="E81" i="4"/>
  <c r="J65" i="4"/>
  <c r="J60" i="4"/>
  <c r="J88" i="4"/>
  <c r="J68" i="4"/>
  <c r="J101" i="4"/>
  <c r="E67" i="4"/>
  <c r="E100" i="4"/>
  <c r="J91" i="4"/>
  <c r="E54" i="4"/>
  <c r="E57" i="4"/>
  <c r="E102" i="4"/>
  <c r="E103" i="4"/>
  <c r="J90" i="4"/>
  <c r="E93" i="4"/>
  <c r="J66" i="4"/>
  <c r="J59" i="4"/>
  <c r="J104" i="4"/>
  <c r="J72" i="4"/>
  <c r="J93" i="4"/>
  <c r="J105" i="4"/>
  <c r="E59" i="4"/>
  <c r="E71" i="4"/>
  <c r="E92" i="4"/>
  <c r="E104" i="4"/>
  <c r="J74" i="4"/>
  <c r="J95" i="4"/>
  <c r="E113" i="4"/>
  <c r="J58" i="4"/>
  <c r="J67" i="4"/>
  <c r="J100" i="4"/>
  <c r="J89" i="4"/>
  <c r="E55" i="4"/>
  <c r="E88" i="4"/>
  <c r="J273" i="4"/>
  <c r="E105" i="4"/>
  <c r="E64" i="4"/>
  <c r="E90" i="4"/>
  <c r="E91" i="4"/>
  <c r="J69" i="4"/>
  <c r="E72" i="4"/>
  <c r="J71" i="4"/>
  <c r="E61" i="4"/>
  <c r="E73" i="4"/>
  <c r="E94" i="4"/>
  <c r="E106" i="4"/>
  <c r="E74" i="4"/>
  <c r="E95" i="4"/>
  <c r="E107" i="4"/>
  <c r="J61" i="4"/>
  <c r="J73" i="4"/>
  <c r="J94" i="4"/>
  <c r="J106" i="4"/>
  <c r="E80" i="4"/>
  <c r="E97" i="4"/>
  <c r="J209" i="4"/>
  <c r="E66" i="4"/>
  <c r="E69" i="4"/>
  <c r="E70" i="4"/>
  <c r="J57" i="4"/>
  <c r="J102" i="4"/>
  <c r="J107" i="4"/>
  <c r="J62" i="4"/>
  <c r="J92" i="4"/>
  <c r="E56" i="4"/>
  <c r="J54" i="4"/>
  <c r="J63" i="4"/>
  <c r="J75" i="4"/>
  <c r="J96" i="4"/>
  <c r="J108" i="4"/>
  <c r="J80" i="4"/>
  <c r="J97" i="4"/>
  <c r="J113" i="4"/>
  <c r="E63" i="4"/>
  <c r="E75" i="4"/>
  <c r="E96" i="4"/>
  <c r="E108" i="4"/>
  <c r="J87" i="4"/>
  <c r="E101" i="4"/>
  <c r="J274" i="4"/>
  <c r="J64" i="4"/>
  <c r="E184" i="1"/>
  <c r="E181" i="1"/>
  <c r="J172" i="1"/>
  <c r="J174" i="1"/>
  <c r="J152" i="1"/>
  <c r="J173" i="1"/>
  <c r="E161" i="1"/>
  <c r="J176" i="1"/>
  <c r="J161" i="1"/>
  <c r="E172" i="1"/>
  <c r="E150" i="1"/>
  <c r="E171" i="1"/>
  <c r="J159" i="1"/>
  <c r="E174" i="1"/>
  <c r="E151" i="1"/>
  <c r="J182" i="1"/>
  <c r="E152" i="1"/>
  <c r="B37" i="1"/>
  <c r="P663" i="1"/>
  <c r="S663" i="1"/>
  <c r="P664" i="1"/>
  <c r="T664" i="1"/>
  <c r="S664" i="1"/>
  <c r="R664" i="1"/>
  <c r="Q664" i="1"/>
  <c r="T663" i="1"/>
  <c r="T669" i="1"/>
  <c r="Q663" i="1"/>
  <c r="S666" i="1"/>
  <c r="F591" i="1"/>
  <c r="S591" i="1"/>
  <c r="R591" i="1"/>
  <c r="T591" i="1"/>
  <c r="Q591" i="1"/>
  <c r="P591" i="1"/>
  <c r="S592" i="1"/>
  <c r="R592" i="1"/>
  <c r="F592" i="1"/>
  <c r="T592" i="1"/>
  <c r="Q592" i="1"/>
  <c r="P592" i="1"/>
  <c r="R593" i="1"/>
  <c r="G551" i="1"/>
  <c r="B588" i="1" s="1"/>
  <c r="S593" i="1"/>
  <c r="P593" i="1"/>
  <c r="Q596" i="1"/>
  <c r="F596" i="1"/>
  <c r="T596" i="1"/>
  <c r="P596" i="1"/>
  <c r="S596" i="1"/>
  <c r="R596" i="1"/>
  <c r="G552" i="1"/>
  <c r="B589" i="1" s="1"/>
  <c r="T593" i="1"/>
  <c r="F593" i="1"/>
  <c r="S595" i="1"/>
  <c r="R595" i="1"/>
  <c r="Q595" i="1"/>
  <c r="P595" i="1"/>
  <c r="F595" i="1"/>
  <c r="T595" i="1"/>
  <c r="F594" i="1"/>
  <c r="T594" i="1"/>
  <c r="Q594" i="1"/>
  <c r="P594" i="1"/>
  <c r="S594" i="1"/>
  <c r="R594" i="1"/>
  <c r="Q401" i="1"/>
  <c r="T401" i="1"/>
  <c r="F121" i="3"/>
  <c r="F131" i="3"/>
  <c r="F164" i="3"/>
  <c r="D183" i="3" s="1"/>
  <c r="F122" i="3"/>
  <c r="F166" i="3"/>
  <c r="D185" i="3" s="1"/>
  <c r="F134" i="3"/>
  <c r="F167" i="3"/>
  <c r="D186" i="3" s="1"/>
  <c r="F127" i="3"/>
  <c r="F172" i="3"/>
  <c r="D191" i="3" s="1"/>
  <c r="F133" i="3"/>
  <c r="F125" i="3"/>
  <c r="C114" i="3"/>
  <c r="F170" i="3"/>
  <c r="D189" i="3" s="1"/>
  <c r="B113" i="3"/>
  <c r="F161" i="3"/>
  <c r="D180" i="3" s="1"/>
  <c r="B114" i="3"/>
  <c r="F130" i="3"/>
  <c r="F163" i="3"/>
  <c r="D182" i="3" s="1"/>
  <c r="F173" i="3"/>
  <c r="D192" i="3" s="1"/>
  <c r="C113" i="3"/>
  <c r="F128" i="3"/>
  <c r="D179" i="3"/>
  <c r="B48" i="4"/>
  <c r="E58" i="4"/>
  <c r="J56" i="4"/>
  <c r="J99" i="4"/>
  <c r="J208" i="4"/>
  <c r="E60" i="4"/>
  <c r="E68" i="4"/>
  <c r="J185" i="1"/>
  <c r="E164" i="1"/>
  <c r="C144" i="1"/>
  <c r="J179" i="1"/>
  <c r="E180" i="1"/>
  <c r="E160" i="1"/>
  <c r="J181" i="1"/>
  <c r="J171" i="1"/>
  <c r="B145" i="1"/>
  <c r="J175" i="1"/>
  <c r="E183" i="1"/>
  <c r="E155" i="1"/>
  <c r="H912" i="1"/>
  <c r="E933" i="1"/>
  <c r="F870" i="1"/>
  <c r="G869" i="1"/>
  <c r="B935" i="1" s="1"/>
  <c r="H121" i="1"/>
  <c r="D119" i="1"/>
  <c r="H108" i="1"/>
  <c r="D105" i="1"/>
  <c r="D106" i="1"/>
  <c r="D121" i="1"/>
  <c r="H111" i="1"/>
  <c r="D108" i="1"/>
  <c r="H122" i="1"/>
  <c r="D120" i="1"/>
  <c r="H109" i="1"/>
  <c r="B101" i="1"/>
  <c r="B100" i="1"/>
  <c r="H120" i="1"/>
  <c r="D118" i="1"/>
  <c r="H106" i="1"/>
  <c r="H119" i="1"/>
  <c r="D111" i="1"/>
  <c r="H105" i="1"/>
  <c r="D109" i="1"/>
  <c r="D122" i="1"/>
  <c r="H118" i="1"/>
  <c r="E163" i="1"/>
  <c r="J158" i="1"/>
  <c r="E179" i="1"/>
  <c r="J153" i="1"/>
  <c r="E173" i="1"/>
  <c r="F77" i="3"/>
  <c r="F76" i="3"/>
  <c r="F74" i="3"/>
  <c r="F73" i="3"/>
  <c r="F71" i="3"/>
  <c r="F70" i="3"/>
  <c r="F68" i="3"/>
  <c r="F67" i="3"/>
  <c r="E225" i="1"/>
  <c r="E259" i="1"/>
  <c r="E244" i="1"/>
  <c r="E248" i="1"/>
  <c r="E226" i="1"/>
  <c r="E220" i="1"/>
  <c r="C213" i="1"/>
  <c r="E230" i="1"/>
  <c r="E252" i="1"/>
  <c r="E243" i="1"/>
  <c r="E247" i="1"/>
  <c r="E254" i="1"/>
  <c r="E224" i="1"/>
  <c r="E221" i="1"/>
  <c r="C214" i="1"/>
  <c r="E237" i="1"/>
  <c r="E245" i="1"/>
  <c r="E249" i="1"/>
  <c r="E222" i="1"/>
  <c r="E251" i="1"/>
  <c r="E257" i="1"/>
  <c r="E235" i="1"/>
  <c r="E233" i="1"/>
  <c r="E242" i="1"/>
  <c r="E246" i="1"/>
  <c r="E255" i="1"/>
  <c r="B214" i="1"/>
  <c r="F258" i="1" s="1"/>
  <c r="G258" i="1" s="1"/>
  <c r="E281" i="1" s="1"/>
  <c r="E227" i="1"/>
  <c r="E229" i="1"/>
  <c r="E223" i="1"/>
  <c r="B213" i="1"/>
  <c r="L46" i="1" l="1"/>
  <c r="G171" i="3"/>
  <c r="H171" i="3" s="1"/>
  <c r="C190" i="3" s="1"/>
  <c r="J190" i="3" s="1"/>
  <c r="D209" i="3" s="1"/>
  <c r="D190" i="3"/>
  <c r="G168" i="3"/>
  <c r="H168" i="3" s="1"/>
  <c r="C187" i="3" s="1"/>
  <c r="J187" i="3" s="1"/>
  <c r="D206" i="3" s="1"/>
  <c r="D187" i="3"/>
  <c r="G165" i="3"/>
  <c r="H165" i="3" s="1"/>
  <c r="C184" i="3" s="1"/>
  <c r="J184" i="3" s="1"/>
  <c r="D203" i="3" s="1"/>
  <c r="D184" i="3"/>
  <c r="G159" i="3"/>
  <c r="H159" i="3" s="1"/>
  <c r="C178" i="3" s="1"/>
  <c r="J178" i="3" s="1"/>
  <c r="D197" i="3" s="1"/>
  <c r="D178" i="3"/>
  <c r="G162" i="3"/>
  <c r="H162" i="3" s="1"/>
  <c r="C181" i="3" s="1"/>
  <c r="J181" i="3" s="1"/>
  <c r="D200" i="3" s="1"/>
  <c r="D181" i="3"/>
  <c r="G160" i="3"/>
  <c r="H160" i="3" s="1"/>
  <c r="G169" i="3"/>
  <c r="H169" i="3" s="1"/>
  <c r="G148" i="3"/>
  <c r="G150" i="3" s="1"/>
  <c r="G123" i="3"/>
  <c r="H123" i="3" s="1"/>
  <c r="C143" i="3" s="1"/>
  <c r="H143" i="3" s="1"/>
  <c r="B200" i="3" s="1"/>
  <c r="G124" i="3"/>
  <c r="H124" i="3" s="1"/>
  <c r="G129" i="3"/>
  <c r="H129" i="3" s="1"/>
  <c r="C149" i="3" s="1"/>
  <c r="H149" i="3" s="1"/>
  <c r="B206" i="3" s="1"/>
  <c r="G120" i="3"/>
  <c r="H120" i="3" s="1"/>
  <c r="C140" i="3" s="1"/>
  <c r="H140" i="3" s="1"/>
  <c r="B197" i="3" s="1"/>
  <c r="G126" i="3"/>
  <c r="H126" i="3" s="1"/>
  <c r="C146" i="3" s="1"/>
  <c r="H146" i="3" s="1"/>
  <c r="B203" i="3" s="1"/>
  <c r="G132" i="3"/>
  <c r="H132" i="3" s="1"/>
  <c r="C152" i="3" s="1"/>
  <c r="K7" i="3"/>
  <c r="K10" i="3"/>
  <c r="L7" i="3"/>
  <c r="L19" i="3"/>
  <c r="K14" i="3"/>
  <c r="L13" i="3"/>
  <c r="L10" i="3"/>
  <c r="K19" i="3"/>
  <c r="L14" i="3"/>
  <c r="K13" i="3"/>
  <c r="L16" i="3"/>
  <c r="K16" i="3"/>
  <c r="L49" i="1"/>
  <c r="L43" i="1"/>
  <c r="L51" i="1"/>
  <c r="L494" i="1"/>
  <c r="E529" i="1" s="1"/>
  <c r="Q529" i="1" s="1"/>
  <c r="L489" i="1"/>
  <c r="Q46" i="1"/>
  <c r="R46" i="1"/>
  <c r="S46" i="1"/>
  <c r="T46" i="1"/>
  <c r="P46" i="1"/>
  <c r="S43" i="1"/>
  <c r="T43" i="1"/>
  <c r="P43" i="1"/>
  <c r="Q43" i="1"/>
  <c r="R43" i="1"/>
  <c r="P49" i="1"/>
  <c r="Q49" i="1"/>
  <c r="R49" i="1"/>
  <c r="S49" i="1"/>
  <c r="T49" i="1"/>
  <c r="P51" i="1"/>
  <c r="Q51" i="1"/>
  <c r="R51" i="1"/>
  <c r="S51" i="1"/>
  <c r="T51" i="1"/>
  <c r="L471" i="1"/>
  <c r="L496" i="1"/>
  <c r="E515" i="1" s="1"/>
  <c r="L492" i="1"/>
  <c r="E511" i="1" s="1"/>
  <c r="L488" i="1"/>
  <c r="T584" i="1"/>
  <c r="L497" i="1"/>
  <c r="E532" i="1" s="1"/>
  <c r="L487" i="1"/>
  <c r="E506" i="1" s="1"/>
  <c r="L478" i="1"/>
  <c r="B516" i="1" s="1"/>
  <c r="L466" i="1"/>
  <c r="B504" i="1" s="1"/>
  <c r="R504" i="1" s="1"/>
  <c r="L469" i="1"/>
  <c r="B523" i="1" s="1"/>
  <c r="J13" i="1"/>
  <c r="I13" i="1"/>
  <c r="J9" i="1"/>
  <c r="I9" i="1"/>
  <c r="J8" i="1"/>
  <c r="I8" i="1"/>
  <c r="L495" i="1"/>
  <c r="E514" i="1" s="1"/>
  <c r="D417" i="4"/>
  <c r="K283" i="4"/>
  <c r="G316" i="4" s="1"/>
  <c r="I287" i="4"/>
  <c r="D320" i="4" s="1"/>
  <c r="I294" i="4"/>
  <c r="D327" i="4" s="1"/>
  <c r="G417" i="4"/>
  <c r="I296" i="4"/>
  <c r="D329" i="4" s="1"/>
  <c r="K299" i="4"/>
  <c r="G332" i="4" s="1"/>
  <c r="I295" i="4"/>
  <c r="D328" i="4" s="1"/>
  <c r="K292" i="4"/>
  <c r="G325" i="4" s="1"/>
  <c r="L470" i="1"/>
  <c r="B508" i="1" s="1"/>
  <c r="L472" i="1"/>
  <c r="B510" i="1" s="1"/>
  <c r="L491" i="1"/>
  <c r="E510" i="1" s="1"/>
  <c r="L465" i="1"/>
  <c r="B519" i="1" s="1"/>
  <c r="L468" i="1"/>
  <c r="B522" i="1" s="1"/>
  <c r="L474" i="1"/>
  <c r="B512" i="1" s="1"/>
  <c r="L477" i="1"/>
  <c r="B531" i="1" s="1"/>
  <c r="L467" i="1"/>
  <c r="B521" i="1" s="1"/>
  <c r="L473" i="1"/>
  <c r="B511" i="1" s="1"/>
  <c r="B782" i="1"/>
  <c r="E688" i="1"/>
  <c r="B681" i="1"/>
  <c r="E687" i="1"/>
  <c r="E736" i="1"/>
  <c r="E735" i="1"/>
  <c r="E693" i="1"/>
  <c r="B682" i="1"/>
  <c r="F732" i="1" s="1"/>
  <c r="C681" i="1"/>
  <c r="E690" i="1"/>
  <c r="L476" i="1"/>
  <c r="B514" i="1" s="1"/>
  <c r="E700" i="1"/>
  <c r="E699" i="1"/>
  <c r="E691" i="1"/>
  <c r="E731" i="1"/>
  <c r="C682" i="1"/>
  <c r="E695" i="1"/>
  <c r="E698" i="1"/>
  <c r="E694" i="1"/>
  <c r="E738" i="1"/>
  <c r="E692" i="1"/>
  <c r="E726" i="1"/>
  <c r="E730" i="1"/>
  <c r="E728" i="1"/>
  <c r="E729" i="1"/>
  <c r="E696" i="1"/>
  <c r="E689" i="1"/>
  <c r="E739" i="1"/>
  <c r="E727" i="1"/>
  <c r="E701" i="1"/>
  <c r="E737" i="1"/>
  <c r="L464" i="1"/>
  <c r="B518" i="1" s="1"/>
  <c r="T518" i="1" s="1"/>
  <c r="L475" i="1"/>
  <c r="B529" i="1" s="1"/>
  <c r="E725" i="1"/>
  <c r="E697" i="1"/>
  <c r="E509" i="1"/>
  <c r="E525" i="1"/>
  <c r="E508" i="1"/>
  <c r="E524" i="1"/>
  <c r="K92" i="4"/>
  <c r="I26" i="1"/>
  <c r="J26" i="1"/>
  <c r="D1000" i="1"/>
  <c r="S994" i="1" s="1"/>
  <c r="F222" i="1"/>
  <c r="G222" i="1" s="1"/>
  <c r="B267" i="1" s="1"/>
  <c r="F267" i="1" s="1"/>
  <c r="K84" i="3"/>
  <c r="L84" i="3" s="1"/>
  <c r="K81" i="3"/>
  <c r="L81" i="3" s="1"/>
  <c r="K83" i="3"/>
  <c r="L83" i="3" s="1"/>
  <c r="K82" i="3"/>
  <c r="L82" i="3" s="1"/>
  <c r="K80" i="3"/>
  <c r="L80" i="3" s="1"/>
  <c r="K60" i="3"/>
  <c r="L60" i="3" s="1"/>
  <c r="K59" i="3"/>
  <c r="L59" i="3" s="1"/>
  <c r="K58" i="3"/>
  <c r="L58" i="3" s="1"/>
  <c r="K57" i="3"/>
  <c r="L57" i="3" s="1"/>
  <c r="K56" i="3"/>
  <c r="I297" i="4"/>
  <c r="D330" i="4" s="1"/>
  <c r="L86" i="4"/>
  <c r="E119" i="4" s="1"/>
  <c r="D58" i="5" s="1"/>
  <c r="D423" i="4"/>
  <c r="E423" i="4" s="1"/>
  <c r="F423" i="4" s="1"/>
  <c r="K282" i="4"/>
  <c r="G315" i="4" s="1"/>
  <c r="G239" i="4"/>
  <c r="B337" i="4" s="1"/>
  <c r="I291" i="4"/>
  <c r="D324" i="4" s="1"/>
  <c r="D420" i="4"/>
  <c r="E420" i="4" s="1"/>
  <c r="F420" i="4" s="1"/>
  <c r="G421" i="4" s="1"/>
  <c r="I286" i="4"/>
  <c r="D319" i="4" s="1"/>
  <c r="K111" i="4"/>
  <c r="K300" i="4"/>
  <c r="G333" i="4" s="1"/>
  <c r="I279" i="4"/>
  <c r="D312" i="4" s="1"/>
  <c r="I285" i="4"/>
  <c r="D318" i="4" s="1"/>
  <c r="I290" i="4"/>
  <c r="D323" i="4" s="1"/>
  <c r="I303" i="4"/>
  <c r="K303" i="4"/>
  <c r="I236" i="4"/>
  <c r="G236" i="4"/>
  <c r="B334" i="4" s="1"/>
  <c r="K304" i="4"/>
  <c r="I304" i="4"/>
  <c r="G237" i="4"/>
  <c r="B335" i="4" s="1"/>
  <c r="I237" i="4"/>
  <c r="K301" i="4"/>
  <c r="I301" i="4"/>
  <c r="I238" i="4"/>
  <c r="G238" i="4"/>
  <c r="B336" i="4" s="1"/>
  <c r="K302" i="4"/>
  <c r="I302" i="4"/>
  <c r="J48" i="1"/>
  <c r="F253" i="1"/>
  <c r="G253" i="1" s="1"/>
  <c r="E276" i="1" s="1"/>
  <c r="K109" i="4"/>
  <c r="K79" i="4"/>
  <c r="F111" i="4"/>
  <c r="F110" i="4"/>
  <c r="F109" i="4"/>
  <c r="F112" i="4"/>
  <c r="K112" i="4"/>
  <c r="K110" i="4"/>
  <c r="K78" i="4"/>
  <c r="K76" i="4"/>
  <c r="F79" i="4"/>
  <c r="K77" i="4"/>
  <c r="F78" i="4"/>
  <c r="F62" i="4"/>
  <c r="F77" i="4"/>
  <c r="F76" i="4"/>
  <c r="F236" i="1"/>
  <c r="G236" i="1" s="1"/>
  <c r="B281" i="1" s="1"/>
  <c r="F256" i="1"/>
  <c r="G256" i="1" s="1"/>
  <c r="E279" i="1" s="1"/>
  <c r="F231" i="1"/>
  <c r="G231" i="1" s="1"/>
  <c r="B276" i="1" s="1"/>
  <c r="F250" i="1"/>
  <c r="G250" i="1" s="1"/>
  <c r="E273" i="1" s="1"/>
  <c r="F234" i="1"/>
  <c r="G234" i="1" s="1"/>
  <c r="B279" i="1" s="1"/>
  <c r="F228" i="1"/>
  <c r="G228" i="1" s="1"/>
  <c r="B273" i="1" s="1"/>
  <c r="P584" i="1"/>
  <c r="S584" i="1"/>
  <c r="R584" i="1"/>
  <c r="Q584" i="1"/>
  <c r="F244" i="1"/>
  <c r="G244" i="1" s="1"/>
  <c r="E267" i="1" s="1"/>
  <c r="F224" i="1"/>
  <c r="G224" i="1" s="1"/>
  <c r="B269" i="1" s="1"/>
  <c r="F269" i="1" s="1"/>
  <c r="F113" i="4"/>
  <c r="D1004" i="1"/>
  <c r="E1004" i="1" s="1"/>
  <c r="F1004" i="1" s="1"/>
  <c r="I284" i="4"/>
  <c r="D317" i="4" s="1"/>
  <c r="K293" i="4"/>
  <c r="G326" i="4" s="1"/>
  <c r="D1003" i="1"/>
  <c r="E1003" i="1" s="1"/>
  <c r="F1003" i="1" s="1"/>
  <c r="K289" i="4"/>
  <c r="G322" i="4" s="1"/>
  <c r="I298" i="4"/>
  <c r="D331" i="4" s="1"/>
  <c r="K298" i="4"/>
  <c r="G331" i="4" s="1"/>
  <c r="D1008" i="1"/>
  <c r="P619" i="1"/>
  <c r="T619" i="1"/>
  <c r="F586" i="1"/>
  <c r="F587" i="1"/>
  <c r="I288" i="4"/>
  <c r="D321" i="4" s="1"/>
  <c r="Q619" i="1"/>
  <c r="R619" i="1"/>
  <c r="I281" i="4"/>
  <c r="D314" i="4" s="1"/>
  <c r="T444" i="1"/>
  <c r="Q587" i="1"/>
  <c r="I280" i="4"/>
  <c r="D313" i="4" s="1"/>
  <c r="F619" i="1"/>
  <c r="K156" i="1"/>
  <c r="H403" i="1"/>
  <c r="L323" i="1"/>
  <c r="E343" i="1" s="1"/>
  <c r="T343" i="1" s="1"/>
  <c r="K177" i="1"/>
  <c r="F156" i="1"/>
  <c r="F177" i="1"/>
  <c r="L322" i="1"/>
  <c r="E342" i="1" s="1"/>
  <c r="L325" i="1"/>
  <c r="E345" i="1" s="1"/>
  <c r="L324" i="1"/>
  <c r="E344" i="1" s="1"/>
  <c r="F343" i="1"/>
  <c r="T394" i="1"/>
  <c r="Q590" i="1"/>
  <c r="R590" i="1"/>
  <c r="S586" i="1"/>
  <c r="S590" i="1"/>
  <c r="R586" i="1"/>
  <c r="Q586" i="1"/>
  <c r="P586" i="1"/>
  <c r="G66" i="3"/>
  <c r="H66" i="3" s="1"/>
  <c r="E89" i="3" s="1"/>
  <c r="T590" i="1"/>
  <c r="F590" i="1"/>
  <c r="E521" i="1"/>
  <c r="P587" i="1"/>
  <c r="S587" i="1"/>
  <c r="R587" i="1"/>
  <c r="R585" i="1"/>
  <c r="E519" i="1"/>
  <c r="F178" i="1"/>
  <c r="K178" i="1"/>
  <c r="F157" i="1"/>
  <c r="G45" i="3"/>
  <c r="H45" i="3" s="1"/>
  <c r="B92" i="3" s="1"/>
  <c r="K157" i="1"/>
  <c r="J27" i="1"/>
  <c r="I27" i="1"/>
  <c r="G48" i="3"/>
  <c r="H48" i="3" s="1"/>
  <c r="B95" i="3" s="1"/>
  <c r="G72" i="3"/>
  <c r="H72" i="3" s="1"/>
  <c r="E95" i="3" s="1"/>
  <c r="K79" i="3"/>
  <c r="G75" i="3"/>
  <c r="H75" i="3" s="1"/>
  <c r="E98" i="3" s="1"/>
  <c r="G51" i="3"/>
  <c r="H51" i="3" s="1"/>
  <c r="B98" i="3" s="1"/>
  <c r="K55" i="3"/>
  <c r="G42" i="3"/>
  <c r="H42" i="3" s="1"/>
  <c r="B89" i="3" s="1"/>
  <c r="G69" i="3"/>
  <c r="H69" i="3" s="1"/>
  <c r="E92" i="3" s="1"/>
  <c r="B530" i="1"/>
  <c r="D993" i="1"/>
  <c r="F446" i="1"/>
  <c r="P394" i="1"/>
  <c r="S585" i="1"/>
  <c r="R446" i="1"/>
  <c r="E520" i="1"/>
  <c r="Q585" i="1"/>
  <c r="F394" i="1"/>
  <c r="H395" i="1" s="1"/>
  <c r="P585" i="1"/>
  <c r="Q445" i="1"/>
  <c r="R394" i="1"/>
  <c r="S394" i="1"/>
  <c r="T585" i="1"/>
  <c r="H404" i="1"/>
  <c r="R445" i="1"/>
  <c r="E502" i="1"/>
  <c r="E110" i="1"/>
  <c r="I110" i="1"/>
  <c r="I107" i="1"/>
  <c r="E107" i="1"/>
  <c r="K176" i="1"/>
  <c r="J11" i="1"/>
  <c r="I12" i="1"/>
  <c r="J12" i="1"/>
  <c r="I10" i="1"/>
  <c r="J10" i="1"/>
  <c r="I11" i="1"/>
  <c r="T445" i="1"/>
  <c r="S446" i="1"/>
  <c r="P445" i="1"/>
  <c r="F445" i="1"/>
  <c r="P446" i="1"/>
  <c r="S445" i="1"/>
  <c r="B507" i="1"/>
  <c r="R444" i="1"/>
  <c r="K55" i="4"/>
  <c r="Q446" i="1"/>
  <c r="F61" i="4"/>
  <c r="F67" i="4"/>
  <c r="R583" i="1"/>
  <c r="T446" i="1"/>
  <c r="P583" i="1"/>
  <c r="T583" i="1"/>
  <c r="S583" i="1"/>
  <c r="K208" i="4"/>
  <c r="P444" i="1"/>
  <c r="I24" i="1"/>
  <c r="J24" i="1"/>
  <c r="J34" i="1"/>
  <c r="J29" i="1"/>
  <c r="J25" i="1"/>
  <c r="J20" i="1"/>
  <c r="J28" i="1"/>
  <c r="J30" i="1"/>
  <c r="J21" i="1"/>
  <c r="J31" i="1"/>
  <c r="J22" i="1"/>
  <c r="J32" i="1"/>
  <c r="J23" i="1"/>
  <c r="J33" i="1"/>
  <c r="K64" i="4"/>
  <c r="K62" i="4"/>
  <c r="K73" i="4"/>
  <c r="K60" i="4"/>
  <c r="Q444" i="1"/>
  <c r="J7" i="1"/>
  <c r="S444" i="1"/>
  <c r="F444" i="1"/>
  <c r="K54" i="4"/>
  <c r="K67" i="4"/>
  <c r="K80" i="4"/>
  <c r="K273" i="4"/>
  <c r="K58" i="4"/>
  <c r="K59" i="4"/>
  <c r="K68" i="4"/>
  <c r="K57" i="4"/>
  <c r="K71" i="4"/>
  <c r="K114" i="4"/>
  <c r="K69" i="4"/>
  <c r="K66" i="4"/>
  <c r="K81" i="4"/>
  <c r="K274" i="4"/>
  <c r="K75" i="4"/>
  <c r="K209" i="4"/>
  <c r="K61" i="4"/>
  <c r="K74" i="4"/>
  <c r="K65" i="4"/>
  <c r="K56" i="4"/>
  <c r="K63" i="4"/>
  <c r="K72" i="4"/>
  <c r="K70" i="4"/>
  <c r="F209" i="4"/>
  <c r="I241" i="4" s="1"/>
  <c r="F58" i="4"/>
  <c r="F98" i="4"/>
  <c r="F106" i="4"/>
  <c r="K94" i="4"/>
  <c r="F65" i="4"/>
  <c r="F154" i="1"/>
  <c r="F257" i="1"/>
  <c r="G257" i="1" s="1"/>
  <c r="E280" i="1" s="1"/>
  <c r="I52" i="1"/>
  <c r="J52" i="1"/>
  <c r="J47" i="1"/>
  <c r="I45" i="1"/>
  <c r="I218" i="4"/>
  <c r="F316" i="4" s="1"/>
  <c r="G218" i="4"/>
  <c r="I234" i="4"/>
  <c r="F332" i="4" s="1"/>
  <c r="G234" i="4"/>
  <c r="B332" i="4" s="1"/>
  <c r="I228" i="4"/>
  <c r="F326" i="4" s="1"/>
  <c r="G228" i="4"/>
  <c r="B326" i="4" s="1"/>
  <c r="I219" i="4"/>
  <c r="F317" i="4" s="1"/>
  <c r="G219" i="4"/>
  <c r="I227" i="4"/>
  <c r="F325" i="4" s="1"/>
  <c r="G227" i="4"/>
  <c r="B325" i="4" s="1"/>
  <c r="I235" i="4"/>
  <c r="F333" i="4" s="1"/>
  <c r="G235" i="4"/>
  <c r="B333" i="4" s="1"/>
  <c r="Q583" i="1"/>
  <c r="B505" i="1"/>
  <c r="I222" i="4"/>
  <c r="F320" i="4" s="1"/>
  <c r="G222" i="4"/>
  <c r="B320" i="4" s="1"/>
  <c r="G216" i="4"/>
  <c r="B314" i="4" s="1"/>
  <c r="I216" i="4"/>
  <c r="F314" i="4" s="1"/>
  <c r="I232" i="4"/>
  <c r="F330" i="4" s="1"/>
  <c r="G232" i="4"/>
  <c r="B330" i="4" s="1"/>
  <c r="I221" i="4"/>
  <c r="F319" i="4" s="1"/>
  <c r="G221" i="4"/>
  <c r="B319" i="4" s="1"/>
  <c r="G229" i="4"/>
  <c r="B327" i="4" s="1"/>
  <c r="I229" i="4"/>
  <c r="F327" i="4" s="1"/>
  <c r="I226" i="4"/>
  <c r="F324" i="4" s="1"/>
  <c r="G226" i="4"/>
  <c r="B324" i="4" s="1"/>
  <c r="G220" i="4"/>
  <c r="B318" i="4" s="1"/>
  <c r="I220" i="4"/>
  <c r="F318" i="4" s="1"/>
  <c r="I215" i="4"/>
  <c r="F313" i="4" s="1"/>
  <c r="G215" i="4"/>
  <c r="G223" i="4"/>
  <c r="B321" i="4" s="1"/>
  <c r="I223" i="4"/>
  <c r="F321" i="4" s="1"/>
  <c r="I231" i="4"/>
  <c r="F329" i="4" s="1"/>
  <c r="G231" i="4"/>
  <c r="B329" i="4" s="1"/>
  <c r="K88" i="4"/>
  <c r="I214" i="4"/>
  <c r="F312" i="4" s="1"/>
  <c r="G214" i="4"/>
  <c r="I230" i="4"/>
  <c r="F328" i="4" s="1"/>
  <c r="G230" i="4"/>
  <c r="B328" i="4" s="1"/>
  <c r="I224" i="4"/>
  <c r="F322" i="4" s="1"/>
  <c r="G224" i="4"/>
  <c r="B322" i="4" s="1"/>
  <c r="I217" i="4"/>
  <c r="F315" i="4" s="1"/>
  <c r="G217" i="4"/>
  <c r="B315" i="4" s="1"/>
  <c r="G225" i="4"/>
  <c r="B323" i="4" s="1"/>
  <c r="I225" i="4"/>
  <c r="F323" i="4" s="1"/>
  <c r="G233" i="4"/>
  <c r="B331" i="4" s="1"/>
  <c r="I233" i="4"/>
  <c r="F331" i="4" s="1"/>
  <c r="J44" i="1"/>
  <c r="I47" i="1"/>
  <c r="J45" i="1"/>
  <c r="I44" i="1"/>
  <c r="I50" i="1"/>
  <c r="J50" i="1"/>
  <c r="I48" i="1"/>
  <c r="F185" i="1"/>
  <c r="F64" i="4"/>
  <c r="F68" i="4"/>
  <c r="F69" i="4"/>
  <c r="F88" i="4"/>
  <c r="F81" i="4"/>
  <c r="F96" i="4"/>
  <c r="F70" i="4"/>
  <c r="F75" i="4"/>
  <c r="F66" i="4"/>
  <c r="F55" i="4"/>
  <c r="F274" i="4"/>
  <c r="K306" i="4" s="1"/>
  <c r="F273" i="4"/>
  <c r="I305" i="4" s="1"/>
  <c r="F208" i="4"/>
  <c r="F63" i="4"/>
  <c r="F73" i="4"/>
  <c r="F89" i="4"/>
  <c r="F103" i="4"/>
  <c r="K104" i="4"/>
  <c r="F163" i="1"/>
  <c r="K174" i="1"/>
  <c r="F59" i="4"/>
  <c r="F54" i="4"/>
  <c r="F80" i="4"/>
  <c r="F60" i="4"/>
  <c r="F56" i="4"/>
  <c r="F74" i="4"/>
  <c r="F72" i="4"/>
  <c r="F71" i="4"/>
  <c r="F57" i="4"/>
  <c r="F153" i="1"/>
  <c r="F150" i="1"/>
  <c r="F161" i="1"/>
  <c r="F162" i="1"/>
  <c r="F158" i="1"/>
  <c r="K180" i="1"/>
  <c r="F159" i="1"/>
  <c r="F155" i="1"/>
  <c r="F160" i="1"/>
  <c r="F151" i="1"/>
  <c r="K173" i="1"/>
  <c r="K155" i="1"/>
  <c r="F164" i="1"/>
  <c r="F152" i="1"/>
  <c r="F99" i="4"/>
  <c r="K172" i="1"/>
  <c r="K183" i="1"/>
  <c r="K181" i="1"/>
  <c r="K185" i="1"/>
  <c r="K182" i="1"/>
  <c r="K175" i="1"/>
  <c r="K184" i="1"/>
  <c r="K179" i="1"/>
  <c r="K171" i="1"/>
  <c r="L11" i="3"/>
  <c r="L15" i="3"/>
  <c r="L21" i="3"/>
  <c r="L12" i="3"/>
  <c r="L9" i="3"/>
  <c r="L18" i="3"/>
  <c r="L17" i="3"/>
  <c r="L20" i="3"/>
  <c r="L8" i="3"/>
  <c r="K9" i="3"/>
  <c r="K18" i="3"/>
  <c r="K11" i="3"/>
  <c r="K20" i="3"/>
  <c r="K12" i="3"/>
  <c r="K21" i="3"/>
  <c r="N21" i="3" s="1"/>
  <c r="K8" i="3"/>
  <c r="K15" i="3"/>
  <c r="K17" i="3"/>
  <c r="G131" i="3"/>
  <c r="H131" i="3" s="1"/>
  <c r="C151" i="3" s="1"/>
  <c r="G128" i="3"/>
  <c r="H128" i="3" s="1"/>
  <c r="C148" i="3" s="1"/>
  <c r="G122" i="3"/>
  <c r="H122" i="3" s="1"/>
  <c r="C142" i="3" s="1"/>
  <c r="H142" i="3" s="1"/>
  <c r="B199" i="3" s="1"/>
  <c r="G170" i="3"/>
  <c r="H170" i="3" s="1"/>
  <c r="C189" i="3" s="1"/>
  <c r="J189" i="3" s="1"/>
  <c r="D208" i="3" s="1"/>
  <c r="G133" i="3"/>
  <c r="H133" i="3" s="1"/>
  <c r="C153" i="3" s="1"/>
  <c r="G134" i="3"/>
  <c r="H134" i="3" s="1"/>
  <c r="C154" i="3" s="1"/>
  <c r="G127" i="3"/>
  <c r="H127" i="3" s="1"/>
  <c r="G130" i="3"/>
  <c r="H130" i="3" s="1"/>
  <c r="C150" i="3" s="1"/>
  <c r="G125" i="3"/>
  <c r="H125" i="3" s="1"/>
  <c r="C145" i="3" s="1"/>
  <c r="H145" i="3" s="1"/>
  <c r="B202" i="3" s="1"/>
  <c r="I7" i="1"/>
  <c r="K103" i="4"/>
  <c r="K101" i="4"/>
  <c r="F102" i="4"/>
  <c r="F107" i="4"/>
  <c r="K107" i="4"/>
  <c r="K113" i="4"/>
  <c r="F108" i="4"/>
  <c r="K106" i="4"/>
  <c r="F87" i="4"/>
  <c r="K99" i="4"/>
  <c r="K96" i="4"/>
  <c r="K105" i="4"/>
  <c r="K91" i="4"/>
  <c r="F101" i="4"/>
  <c r="F95" i="4"/>
  <c r="F104" i="4"/>
  <c r="F114" i="4"/>
  <c r="K102" i="4"/>
  <c r="K89" i="4"/>
  <c r="K93" i="4"/>
  <c r="K90" i="4"/>
  <c r="F97" i="4"/>
  <c r="F92" i="4"/>
  <c r="K108" i="4"/>
  <c r="K98" i="4"/>
  <c r="F94" i="4"/>
  <c r="F91" i="4"/>
  <c r="K95" i="4"/>
  <c r="F93" i="4"/>
  <c r="F105" i="4"/>
  <c r="K87" i="4"/>
  <c r="K97" i="4"/>
  <c r="K100" i="4"/>
  <c r="F90" i="4"/>
  <c r="F100" i="4"/>
  <c r="I29" i="1"/>
  <c r="I20" i="1"/>
  <c r="I32" i="1"/>
  <c r="I23" i="1"/>
  <c r="I25" i="1"/>
  <c r="I31" i="1"/>
  <c r="I21" i="1"/>
  <c r="I30" i="1"/>
  <c r="I28" i="1"/>
  <c r="I33" i="1"/>
  <c r="I34" i="1"/>
  <c r="I22" i="1"/>
  <c r="F588" i="1"/>
  <c r="S588" i="1"/>
  <c r="T588" i="1"/>
  <c r="Q588" i="1"/>
  <c r="P588" i="1"/>
  <c r="R588" i="1"/>
  <c r="S589" i="1"/>
  <c r="Q589" i="1"/>
  <c r="P589" i="1"/>
  <c r="R589" i="1"/>
  <c r="F589" i="1"/>
  <c r="T589" i="1"/>
  <c r="E512" i="1"/>
  <c r="E528" i="1"/>
  <c r="E507" i="1"/>
  <c r="E523" i="1"/>
  <c r="Q523" i="1" s="1"/>
  <c r="G173" i="3"/>
  <c r="H173" i="3" s="1"/>
  <c r="C192" i="3" s="1"/>
  <c r="J192" i="3" s="1"/>
  <c r="D211" i="3" s="1"/>
  <c r="G161" i="3"/>
  <c r="H161" i="3" s="1"/>
  <c r="C180" i="3" s="1"/>
  <c r="J180" i="3" s="1"/>
  <c r="D199" i="3" s="1"/>
  <c r="C144" i="3"/>
  <c r="H144" i="3" s="1"/>
  <c r="B201" i="3" s="1"/>
  <c r="G166" i="3"/>
  <c r="H166" i="3" s="1"/>
  <c r="C185" i="3" s="1"/>
  <c r="J185" i="3" s="1"/>
  <c r="D204" i="3" s="1"/>
  <c r="G163" i="3"/>
  <c r="H163" i="3" s="1"/>
  <c r="C182" i="3" s="1"/>
  <c r="J182" i="3" s="1"/>
  <c r="D201" i="3" s="1"/>
  <c r="G121" i="3"/>
  <c r="H121" i="3" s="1"/>
  <c r="C141" i="3" s="1"/>
  <c r="H141" i="3" s="1"/>
  <c r="B198" i="3" s="1"/>
  <c r="G164" i="3"/>
  <c r="H164" i="3" s="1"/>
  <c r="C183" i="3" s="1"/>
  <c r="J183" i="3" s="1"/>
  <c r="D202" i="3" s="1"/>
  <c r="C179" i="3"/>
  <c r="J179" i="3" s="1"/>
  <c r="D198" i="3" s="1"/>
  <c r="G172" i="3"/>
  <c r="H172" i="3" s="1"/>
  <c r="C191" i="3" s="1"/>
  <c r="J191" i="3" s="1"/>
  <c r="D210" i="3" s="1"/>
  <c r="G167" i="3"/>
  <c r="H167" i="3" s="1"/>
  <c r="C186" i="3" s="1"/>
  <c r="J186" i="3" s="1"/>
  <c r="D205" i="3" s="1"/>
  <c r="K164" i="1"/>
  <c r="K151" i="1"/>
  <c r="K158" i="1"/>
  <c r="K152" i="1"/>
  <c r="K162" i="1"/>
  <c r="K163" i="1"/>
  <c r="K159" i="1"/>
  <c r="K160" i="1"/>
  <c r="K150" i="1"/>
  <c r="K161" i="1"/>
  <c r="K154" i="1"/>
  <c r="K153" i="1"/>
  <c r="F172" i="1"/>
  <c r="F179" i="1"/>
  <c r="F176" i="1"/>
  <c r="F184" i="1"/>
  <c r="F180" i="1"/>
  <c r="F171" i="1"/>
  <c r="F175" i="1"/>
  <c r="F182" i="1"/>
  <c r="F181" i="1"/>
  <c r="F173" i="1"/>
  <c r="F174" i="1"/>
  <c r="F183" i="1"/>
  <c r="F233" i="1"/>
  <c r="G233" i="1" s="1"/>
  <c r="B278" i="1" s="1"/>
  <c r="F225" i="1"/>
  <c r="G225" i="1" s="1"/>
  <c r="B270" i="1" s="1"/>
  <c r="F223" i="1"/>
  <c r="G223" i="1" s="1"/>
  <c r="B268" i="1" s="1"/>
  <c r="F235" i="1"/>
  <c r="G235" i="1" s="1"/>
  <c r="B280" i="1" s="1"/>
  <c r="F255" i="1"/>
  <c r="G255" i="1" s="1"/>
  <c r="E278" i="1" s="1"/>
  <c r="S933" i="1"/>
  <c r="T933" i="1"/>
  <c r="R933" i="1"/>
  <c r="P933" i="1"/>
  <c r="F227" i="1"/>
  <c r="G227" i="1" s="1"/>
  <c r="B272" i="1" s="1"/>
  <c r="F246" i="1"/>
  <c r="G246" i="1" s="1"/>
  <c r="E269" i="1" s="1"/>
  <c r="F243" i="1"/>
  <c r="G243" i="1" s="1"/>
  <c r="E266" i="1" s="1"/>
  <c r="F245" i="1"/>
  <c r="G245" i="1" s="1"/>
  <c r="E268" i="1" s="1"/>
  <c r="F226" i="1"/>
  <c r="G226" i="1" s="1"/>
  <c r="B271" i="1" s="1"/>
  <c r="F248" i="1"/>
  <c r="G248" i="1" s="1"/>
  <c r="E271" i="1" s="1"/>
  <c r="F252" i="1"/>
  <c r="G252" i="1" s="1"/>
  <c r="E275" i="1" s="1"/>
  <c r="F242" i="1"/>
  <c r="G242" i="1" s="1"/>
  <c r="E265" i="1" s="1"/>
  <c r="F251" i="1"/>
  <c r="G251" i="1" s="1"/>
  <c r="E274" i="1" s="1"/>
  <c r="F254" i="1"/>
  <c r="G254" i="1" s="1"/>
  <c r="E277" i="1" s="1"/>
  <c r="F247" i="1"/>
  <c r="G247" i="1" s="1"/>
  <c r="E270" i="1" s="1"/>
  <c r="F237" i="1"/>
  <c r="G237" i="1" s="1"/>
  <c r="B282" i="1" s="1"/>
  <c r="F249" i="1"/>
  <c r="G249" i="1" s="1"/>
  <c r="E272" i="1" s="1"/>
  <c r="F259" i="1"/>
  <c r="G259" i="1" s="1"/>
  <c r="E282" i="1" s="1"/>
  <c r="H913" i="1"/>
  <c r="I912" i="1"/>
  <c r="D934" i="1" s="1"/>
  <c r="E934" i="1" s="1"/>
  <c r="F871" i="1"/>
  <c r="G870" i="1"/>
  <c r="B936" i="1" s="1"/>
  <c r="I122" i="1"/>
  <c r="E120" i="1"/>
  <c r="E121" i="1"/>
  <c r="E122" i="1"/>
  <c r="I118" i="1"/>
  <c r="I121" i="1"/>
  <c r="E119" i="1"/>
  <c r="I120" i="1"/>
  <c r="I119" i="1"/>
  <c r="E118" i="1"/>
  <c r="I109" i="1"/>
  <c r="E106" i="1"/>
  <c r="I111" i="1"/>
  <c r="E108" i="1"/>
  <c r="I108" i="1"/>
  <c r="E105" i="1"/>
  <c r="E109" i="1"/>
  <c r="E111" i="1"/>
  <c r="I105" i="1"/>
  <c r="I106" i="1"/>
  <c r="F220" i="1"/>
  <c r="G220" i="1" s="1"/>
  <c r="B265" i="1" s="1"/>
  <c r="F265" i="1" s="1"/>
  <c r="G77" i="3"/>
  <c r="H77" i="3" s="1"/>
  <c r="E100" i="3" s="1"/>
  <c r="G74" i="3"/>
  <c r="H74" i="3" s="1"/>
  <c r="E97" i="3" s="1"/>
  <c r="G76" i="3"/>
  <c r="H76" i="3" s="1"/>
  <c r="E99" i="3" s="1"/>
  <c r="G73" i="3"/>
  <c r="H73" i="3" s="1"/>
  <c r="E96" i="3" s="1"/>
  <c r="G47" i="3"/>
  <c r="H47" i="3" s="1"/>
  <c r="B94" i="3" s="1"/>
  <c r="G46" i="3"/>
  <c r="H46" i="3" s="1"/>
  <c r="B93" i="3" s="1"/>
  <c r="G44" i="3"/>
  <c r="H44" i="3" s="1"/>
  <c r="B91" i="3" s="1"/>
  <c r="G43" i="3"/>
  <c r="H43" i="3" s="1"/>
  <c r="B90" i="3" s="1"/>
  <c r="F230" i="1"/>
  <c r="G230" i="1" s="1"/>
  <c r="B275" i="1" s="1"/>
  <c r="G53" i="3"/>
  <c r="H53" i="3" s="1"/>
  <c r="B100" i="3" s="1"/>
  <c r="G52" i="3"/>
  <c r="H52" i="3" s="1"/>
  <c r="B99" i="3" s="1"/>
  <c r="G50" i="3"/>
  <c r="H50" i="3" s="1"/>
  <c r="B97" i="3" s="1"/>
  <c r="G49" i="3"/>
  <c r="H49" i="3" s="1"/>
  <c r="B96" i="3" s="1"/>
  <c r="G71" i="3"/>
  <c r="H71" i="3" s="1"/>
  <c r="E94" i="3" s="1"/>
  <c r="G68" i="3"/>
  <c r="H68" i="3" s="1"/>
  <c r="E91" i="3" s="1"/>
  <c r="G70" i="3"/>
  <c r="H70" i="3" s="1"/>
  <c r="E93" i="3" s="1"/>
  <c r="G67" i="3"/>
  <c r="H67" i="3" s="1"/>
  <c r="E90" i="3" s="1"/>
  <c r="F229" i="1"/>
  <c r="G229" i="1" s="1"/>
  <c r="B274" i="1" s="1"/>
  <c r="F232" i="1"/>
  <c r="G232" i="1" s="1"/>
  <c r="B277" i="1" s="1"/>
  <c r="F221" i="1"/>
  <c r="G221" i="1" s="1"/>
  <c r="B266" i="1" s="1"/>
  <c r="T529" i="1" l="1"/>
  <c r="E513" i="1"/>
  <c r="L48" i="1"/>
  <c r="S203" i="3"/>
  <c r="T203" i="3"/>
  <c r="U203" i="3"/>
  <c r="R203" i="3"/>
  <c r="Q203" i="3"/>
  <c r="C188" i="3"/>
  <c r="J188" i="3" s="1"/>
  <c r="D207" i="3" s="1"/>
  <c r="U197" i="3"/>
  <c r="Q197" i="3"/>
  <c r="E197" i="3"/>
  <c r="T197" i="3"/>
  <c r="R197" i="3"/>
  <c r="S197" i="3"/>
  <c r="E203" i="3"/>
  <c r="R206" i="3"/>
  <c r="Q206" i="3"/>
  <c r="S206" i="3"/>
  <c r="E206" i="3"/>
  <c r="T206" i="3"/>
  <c r="U206" i="3"/>
  <c r="T200" i="3"/>
  <c r="E200" i="3"/>
  <c r="S200" i="3"/>
  <c r="U200" i="3"/>
  <c r="Q200" i="3"/>
  <c r="R200" i="3"/>
  <c r="H148" i="3"/>
  <c r="B205" i="3" s="1"/>
  <c r="E205" i="3" s="1"/>
  <c r="H150" i="3"/>
  <c r="B207" i="3" s="1"/>
  <c r="C147" i="3"/>
  <c r="H147" i="3" s="1"/>
  <c r="B204" i="3" s="1"/>
  <c r="G151" i="3"/>
  <c r="G153" i="3" s="1"/>
  <c r="G154" i="3" s="1"/>
  <c r="H154" i="3" s="1"/>
  <c r="B211" i="3" s="1"/>
  <c r="G152" i="3"/>
  <c r="H152" i="3" s="1"/>
  <c r="B209" i="3" s="1"/>
  <c r="S7" i="3"/>
  <c r="N12" i="3"/>
  <c r="N14" i="3"/>
  <c r="N15" i="3"/>
  <c r="D103" i="8" s="1"/>
  <c r="N18" i="3"/>
  <c r="N9" i="3"/>
  <c r="T16" i="3"/>
  <c r="N16" i="3"/>
  <c r="D104" i="8" s="1"/>
  <c r="U16" i="3"/>
  <c r="R16" i="3"/>
  <c r="Q16" i="3"/>
  <c r="S16" i="3"/>
  <c r="V16" i="3"/>
  <c r="U13" i="3"/>
  <c r="R13" i="3"/>
  <c r="Q13" i="3"/>
  <c r="V13" i="3"/>
  <c r="S13" i="3"/>
  <c r="N13" i="3"/>
  <c r="D101" i="8" s="1"/>
  <c r="T13" i="3"/>
  <c r="V20" i="3"/>
  <c r="R20" i="3"/>
  <c r="Q20" i="3"/>
  <c r="T20" i="3"/>
  <c r="S20" i="3"/>
  <c r="N20" i="3"/>
  <c r="U20" i="3"/>
  <c r="N17" i="3"/>
  <c r="N11" i="3"/>
  <c r="U19" i="3"/>
  <c r="S19" i="3"/>
  <c r="R19" i="3"/>
  <c r="T19" i="3"/>
  <c r="V19" i="3"/>
  <c r="Q19" i="3"/>
  <c r="N19" i="3"/>
  <c r="R10" i="3"/>
  <c r="Q10" i="3"/>
  <c r="U10" i="3"/>
  <c r="N10" i="3"/>
  <c r="D98" i="8" s="1"/>
  <c r="T10" i="3"/>
  <c r="S10" i="3"/>
  <c r="V10" i="3"/>
  <c r="N8" i="3"/>
  <c r="Q7" i="3"/>
  <c r="N7" i="3"/>
  <c r="D95" i="8" s="1"/>
  <c r="V7" i="3"/>
  <c r="R7" i="3"/>
  <c r="U7" i="3"/>
  <c r="T7" i="3"/>
  <c r="L45" i="1"/>
  <c r="F273" i="1"/>
  <c r="D22" i="8" s="1"/>
  <c r="H22" i="8" s="1"/>
  <c r="L50" i="1"/>
  <c r="L44" i="1"/>
  <c r="L52" i="1"/>
  <c r="E531" i="1"/>
  <c r="L47" i="1"/>
  <c r="S511" i="1"/>
  <c r="P510" i="1"/>
  <c r="E526" i="1"/>
  <c r="B503" i="1"/>
  <c r="T514" i="1"/>
  <c r="B527" i="1"/>
  <c r="S514" i="1"/>
  <c r="E530" i="1"/>
  <c r="F530" i="1" s="1"/>
  <c r="E1000" i="1"/>
  <c r="Q994" i="1"/>
  <c r="E516" i="1"/>
  <c r="P516" i="1" s="1"/>
  <c r="R511" i="1"/>
  <c r="Q511" i="1"/>
  <c r="F511" i="1"/>
  <c r="P511" i="1"/>
  <c r="T511" i="1"/>
  <c r="P504" i="1"/>
  <c r="E527" i="1"/>
  <c r="Q527" i="1" s="1"/>
  <c r="R47" i="1"/>
  <c r="S47" i="1"/>
  <c r="T47" i="1"/>
  <c r="P47" i="1"/>
  <c r="Q47" i="1"/>
  <c r="B525" i="1"/>
  <c r="F525" i="1" s="1"/>
  <c r="B509" i="1"/>
  <c r="F509" i="1" s="1"/>
  <c r="P529" i="1"/>
  <c r="E522" i="1"/>
  <c r="R522" i="1" s="1"/>
  <c r="R529" i="1"/>
  <c r="B532" i="1"/>
  <c r="P532" i="1" s="1"/>
  <c r="S529" i="1"/>
  <c r="Q518" i="1"/>
  <c r="F529" i="1"/>
  <c r="B513" i="1"/>
  <c r="F687" i="1"/>
  <c r="G706" i="1" s="1"/>
  <c r="B763" i="1" s="1"/>
  <c r="F504" i="1"/>
  <c r="S504" i="1"/>
  <c r="T504" i="1"/>
  <c r="Q504" i="1"/>
  <c r="B520" i="1"/>
  <c r="T520" i="1" s="1"/>
  <c r="B524" i="1"/>
  <c r="F524" i="1" s="1"/>
  <c r="L8" i="1"/>
  <c r="F700" i="1"/>
  <c r="I719" i="1" s="1"/>
  <c r="F776" i="1" s="1"/>
  <c r="F691" i="1"/>
  <c r="I710" i="1" s="1"/>
  <c r="F767" i="1" s="1"/>
  <c r="S519" i="1"/>
  <c r="F697" i="1"/>
  <c r="G716" i="1" s="1"/>
  <c r="B773" i="1" s="1"/>
  <c r="R518" i="1"/>
  <c r="B506" i="1"/>
  <c r="P506" i="1" s="1"/>
  <c r="P518" i="1"/>
  <c r="S518" i="1"/>
  <c r="B502" i="1"/>
  <c r="R502" i="1" s="1"/>
  <c r="F510" i="1"/>
  <c r="F518" i="1"/>
  <c r="L9" i="1"/>
  <c r="Q514" i="1"/>
  <c r="S510" i="1"/>
  <c r="B526" i="1"/>
  <c r="R514" i="1"/>
  <c r="T510" i="1"/>
  <c r="F514" i="1"/>
  <c r="Q510" i="1"/>
  <c r="P514" i="1"/>
  <c r="R510" i="1"/>
  <c r="T13" i="1"/>
  <c r="S13" i="1"/>
  <c r="P13" i="1"/>
  <c r="R13" i="1"/>
  <c r="Q13" i="1"/>
  <c r="L13" i="1"/>
  <c r="B312" i="4"/>
  <c r="K312" i="4" s="1"/>
  <c r="B313" i="4"/>
  <c r="E313" i="4" s="1"/>
  <c r="B317" i="4"/>
  <c r="E317" i="4" s="1"/>
  <c r="B316" i="4"/>
  <c r="E316" i="4" s="1"/>
  <c r="B377" i="4"/>
  <c r="D378" i="4"/>
  <c r="D337" i="4"/>
  <c r="D375" i="4"/>
  <c r="D334" i="4"/>
  <c r="E334" i="4" s="1"/>
  <c r="B375" i="4"/>
  <c r="B378" i="4"/>
  <c r="D376" i="4"/>
  <c r="D335" i="4"/>
  <c r="B376" i="4"/>
  <c r="D377" i="4"/>
  <c r="D336" i="4"/>
  <c r="D338" i="4"/>
  <c r="D379" i="4"/>
  <c r="G58" i="5"/>
  <c r="H58" i="5"/>
  <c r="I58" i="5"/>
  <c r="J58" i="5"/>
  <c r="F58" i="5"/>
  <c r="K58" i="5"/>
  <c r="B515" i="1"/>
  <c r="F515" i="1" s="1"/>
  <c r="F698" i="1"/>
  <c r="I717" i="1" s="1"/>
  <c r="F774" i="1" s="1"/>
  <c r="B528" i="1"/>
  <c r="S528" i="1" s="1"/>
  <c r="F692" i="1"/>
  <c r="G711" i="1" s="1"/>
  <c r="B768" i="1" s="1"/>
  <c r="F694" i="1"/>
  <c r="I713" i="1" s="1"/>
  <c r="F770" i="1" s="1"/>
  <c r="F737" i="1"/>
  <c r="K756" i="1" s="1"/>
  <c r="G775" i="1" s="1"/>
  <c r="F693" i="1"/>
  <c r="I712" i="1" s="1"/>
  <c r="F769" i="1" s="1"/>
  <c r="F699" i="1"/>
  <c r="I718" i="1" s="1"/>
  <c r="F775" i="1" s="1"/>
  <c r="F690" i="1"/>
  <c r="G709" i="1" s="1"/>
  <c r="B766" i="1" s="1"/>
  <c r="P522" i="1"/>
  <c r="F688" i="1"/>
  <c r="F689" i="1"/>
  <c r="I708" i="1" s="1"/>
  <c r="F765" i="1" s="1"/>
  <c r="K751" i="1"/>
  <c r="G770" i="1" s="1"/>
  <c r="I751" i="1"/>
  <c r="D770" i="1" s="1"/>
  <c r="F727" i="1"/>
  <c r="F735" i="1"/>
  <c r="F729" i="1"/>
  <c r="F738" i="1"/>
  <c r="F731" i="1"/>
  <c r="F736" i="1"/>
  <c r="F730" i="1"/>
  <c r="F739" i="1"/>
  <c r="F728" i="1"/>
  <c r="F726" i="1"/>
  <c r="F725" i="1"/>
  <c r="F701" i="1"/>
  <c r="F696" i="1"/>
  <c r="F695" i="1"/>
  <c r="G714" i="1" s="1"/>
  <c r="B771" i="1" s="1"/>
  <c r="K771" i="1" s="1"/>
  <c r="F508" i="1"/>
  <c r="T994" i="1"/>
  <c r="R994" i="1"/>
  <c r="Q267" i="1"/>
  <c r="L92" i="4"/>
  <c r="E125" i="4" s="1"/>
  <c r="T503" i="1"/>
  <c r="P27" i="1"/>
  <c r="Q27" i="1"/>
  <c r="R27" i="1"/>
  <c r="T27" i="1"/>
  <c r="S27" i="1"/>
  <c r="L26" i="1"/>
  <c r="R26" i="1"/>
  <c r="S26" i="1"/>
  <c r="T26" i="1"/>
  <c r="Q26" i="1"/>
  <c r="P26" i="1"/>
  <c r="L101" i="4"/>
  <c r="E134" i="4" s="1"/>
  <c r="Q272" i="1"/>
  <c r="M83" i="3"/>
  <c r="E103" i="3" s="1"/>
  <c r="S48" i="1"/>
  <c r="P48" i="1"/>
  <c r="M57" i="3"/>
  <c r="B102" i="3" s="1"/>
  <c r="M81" i="3"/>
  <c r="E102" i="3" s="1"/>
  <c r="L79" i="3"/>
  <c r="M79" i="3" s="1"/>
  <c r="E101" i="3" s="1"/>
  <c r="M59" i="3"/>
  <c r="B103" i="3" s="1"/>
  <c r="P119" i="4"/>
  <c r="R119" i="4"/>
  <c r="S119" i="4"/>
  <c r="T119" i="4"/>
  <c r="Q119" i="4"/>
  <c r="F119" i="4"/>
  <c r="G422" i="4"/>
  <c r="L76" i="4"/>
  <c r="B142" i="4" s="1"/>
  <c r="L111" i="4"/>
  <c r="E144" i="4" s="1"/>
  <c r="S65" i="1"/>
  <c r="Q65" i="1"/>
  <c r="R65" i="1"/>
  <c r="P65" i="1"/>
  <c r="T65" i="1"/>
  <c r="S63" i="1"/>
  <c r="P63" i="1"/>
  <c r="R63" i="1"/>
  <c r="T63" i="1"/>
  <c r="Q63" i="1"/>
  <c r="S60" i="1"/>
  <c r="Q60" i="1"/>
  <c r="P60" i="1"/>
  <c r="T60" i="1"/>
  <c r="R60" i="1"/>
  <c r="S61" i="1"/>
  <c r="R61" i="1"/>
  <c r="Q61" i="1"/>
  <c r="P61" i="1"/>
  <c r="T61" i="1"/>
  <c r="S64" i="1"/>
  <c r="P64" i="1"/>
  <c r="T64" i="1"/>
  <c r="Q64" i="1"/>
  <c r="R64" i="1"/>
  <c r="S62" i="1"/>
  <c r="R62" i="1"/>
  <c r="T62" i="1"/>
  <c r="Q62" i="1"/>
  <c r="P62" i="1"/>
  <c r="S66" i="1"/>
  <c r="P66" i="1"/>
  <c r="T66" i="1"/>
  <c r="Q66" i="1"/>
  <c r="R66" i="1"/>
  <c r="L109" i="4"/>
  <c r="E142" i="4" s="1"/>
  <c r="L62" i="4"/>
  <c r="L110" i="4"/>
  <c r="E143" i="4" s="1"/>
  <c r="L79" i="4"/>
  <c r="B145" i="4" s="1"/>
  <c r="L112" i="4"/>
  <c r="E145" i="4" s="1"/>
  <c r="L78" i="4"/>
  <c r="B144" i="4" s="1"/>
  <c r="L77" i="4"/>
  <c r="B143" i="4" s="1"/>
  <c r="F278" i="1"/>
  <c r="T278" i="1"/>
  <c r="P278" i="1"/>
  <c r="Q278" i="1"/>
  <c r="R278" i="1"/>
  <c r="S278" i="1"/>
  <c r="R273" i="1"/>
  <c r="T273" i="1"/>
  <c r="S273" i="1"/>
  <c r="P273" i="1"/>
  <c r="Q273" i="1"/>
  <c r="Q275" i="1"/>
  <c r="R275" i="1"/>
  <c r="S275" i="1"/>
  <c r="T275" i="1"/>
  <c r="P275" i="1"/>
  <c r="P279" i="1"/>
  <c r="S279" i="1"/>
  <c r="F279" i="1"/>
  <c r="D28" i="8" s="1"/>
  <c r="Q279" i="1"/>
  <c r="R279" i="1"/>
  <c r="T279" i="1"/>
  <c r="T277" i="1"/>
  <c r="R277" i="1"/>
  <c r="P277" i="1"/>
  <c r="F277" i="1"/>
  <c r="D26" i="8" s="1"/>
  <c r="Q277" i="1"/>
  <c r="S277" i="1"/>
  <c r="Q280" i="1"/>
  <c r="R280" i="1"/>
  <c r="F280" i="1"/>
  <c r="D29" i="8" s="1"/>
  <c r="S280" i="1"/>
  <c r="T280" i="1"/>
  <c r="P280" i="1"/>
  <c r="S276" i="1"/>
  <c r="F276" i="1"/>
  <c r="D25" i="8" s="1"/>
  <c r="P276" i="1"/>
  <c r="R276" i="1"/>
  <c r="T276" i="1"/>
  <c r="Q276" i="1"/>
  <c r="S282" i="1"/>
  <c r="F282" i="1"/>
  <c r="D31" i="8" s="1"/>
  <c r="P282" i="1"/>
  <c r="T282" i="1"/>
  <c r="Q282" i="1"/>
  <c r="R282" i="1"/>
  <c r="R281" i="1"/>
  <c r="F281" i="1"/>
  <c r="D30" i="8" s="1"/>
  <c r="S281" i="1"/>
  <c r="P281" i="1"/>
  <c r="Q281" i="1"/>
  <c r="T281" i="1"/>
  <c r="Q269" i="1"/>
  <c r="L113" i="4"/>
  <c r="E146" i="4" s="1"/>
  <c r="S267" i="1"/>
  <c r="R267" i="1"/>
  <c r="P267" i="1"/>
  <c r="T267" i="1"/>
  <c r="V9" i="3"/>
  <c r="L105" i="4"/>
  <c r="E138" i="4" s="1"/>
  <c r="V11" i="3"/>
  <c r="R993" i="1"/>
  <c r="E993" i="1"/>
  <c r="F993" i="1" s="1"/>
  <c r="G994" i="1" s="1"/>
  <c r="Q522" i="1"/>
  <c r="S343" i="1"/>
  <c r="L156" i="1"/>
  <c r="B196" i="1" s="1"/>
  <c r="F522" i="1"/>
  <c r="S993" i="1"/>
  <c r="Q343" i="1"/>
  <c r="Q993" i="1"/>
  <c r="T522" i="1"/>
  <c r="R343" i="1"/>
  <c r="P343" i="1"/>
  <c r="S522" i="1"/>
  <c r="L177" i="1"/>
  <c r="E196" i="1" s="1"/>
  <c r="V18" i="3"/>
  <c r="R345" i="1"/>
  <c r="S345" i="1"/>
  <c r="T345" i="1"/>
  <c r="P345" i="1"/>
  <c r="Q345" i="1"/>
  <c r="T344" i="1"/>
  <c r="R344" i="1"/>
  <c r="Q344" i="1"/>
  <c r="P344" i="1"/>
  <c r="S344" i="1"/>
  <c r="P342" i="1"/>
  <c r="T342" i="1"/>
  <c r="Q342" i="1"/>
  <c r="S342" i="1"/>
  <c r="R342" i="1"/>
  <c r="V17" i="3"/>
  <c r="V12" i="3"/>
  <c r="V21" i="3"/>
  <c r="V8" i="3"/>
  <c r="V15" i="3"/>
  <c r="V14" i="3"/>
  <c r="Q519" i="1"/>
  <c r="T519" i="1"/>
  <c r="R519" i="1"/>
  <c r="F519" i="1"/>
  <c r="P519" i="1"/>
  <c r="Q92" i="3"/>
  <c r="V95" i="3"/>
  <c r="F95" i="3"/>
  <c r="L157" i="1"/>
  <c r="B197" i="1" s="1"/>
  <c r="T95" i="3"/>
  <c r="L178" i="1"/>
  <c r="E197" i="1" s="1"/>
  <c r="Q95" i="3"/>
  <c r="U95" i="3"/>
  <c r="U92" i="3"/>
  <c r="L27" i="1"/>
  <c r="R95" i="3"/>
  <c r="F92" i="3"/>
  <c r="S95" i="3"/>
  <c r="T96" i="3"/>
  <c r="S96" i="3"/>
  <c r="U96" i="3"/>
  <c r="V96" i="3"/>
  <c r="R96" i="3"/>
  <c r="V92" i="3"/>
  <c r="U97" i="3"/>
  <c r="T97" i="3"/>
  <c r="V97" i="3"/>
  <c r="R97" i="3"/>
  <c r="S97" i="3"/>
  <c r="U91" i="3"/>
  <c r="T91" i="3"/>
  <c r="V91" i="3"/>
  <c r="R91" i="3"/>
  <c r="S91" i="3"/>
  <c r="S89" i="3"/>
  <c r="Q89" i="3"/>
  <c r="R89" i="3"/>
  <c r="T89" i="3"/>
  <c r="U89" i="3"/>
  <c r="V89" i="3"/>
  <c r="S92" i="3"/>
  <c r="V93" i="3"/>
  <c r="R93" i="3"/>
  <c r="S93" i="3"/>
  <c r="T93" i="3"/>
  <c r="U93" i="3"/>
  <c r="R92" i="3"/>
  <c r="T90" i="3"/>
  <c r="U90" i="3"/>
  <c r="V90" i="3"/>
  <c r="R90" i="3"/>
  <c r="S90" i="3"/>
  <c r="T92" i="3"/>
  <c r="V99" i="3"/>
  <c r="R99" i="3"/>
  <c r="S99" i="3"/>
  <c r="T99" i="3"/>
  <c r="U99" i="3"/>
  <c r="R100" i="3"/>
  <c r="S100" i="3"/>
  <c r="T100" i="3"/>
  <c r="U100" i="3"/>
  <c r="V100" i="3"/>
  <c r="R94" i="3"/>
  <c r="S94" i="3"/>
  <c r="T94" i="3"/>
  <c r="U94" i="3"/>
  <c r="V94" i="3"/>
  <c r="V98" i="3"/>
  <c r="R98" i="3"/>
  <c r="S98" i="3"/>
  <c r="Q98" i="3"/>
  <c r="T98" i="3"/>
  <c r="U98" i="3"/>
  <c r="F98" i="3"/>
  <c r="F89" i="3"/>
  <c r="L70" i="4"/>
  <c r="B136" i="4" s="1"/>
  <c r="T993" i="1"/>
  <c r="P513" i="1"/>
  <c r="L88" i="4"/>
  <c r="E121" i="4" s="1"/>
  <c r="R503" i="1"/>
  <c r="T516" i="1"/>
  <c r="T513" i="1"/>
  <c r="S513" i="1"/>
  <c r="R507" i="1"/>
  <c r="R513" i="1"/>
  <c r="F523" i="1"/>
  <c r="T9" i="3"/>
  <c r="J107" i="1"/>
  <c r="B129" i="1" s="1"/>
  <c r="J110" i="1"/>
  <c r="B132" i="1" s="1"/>
  <c r="L154" i="1"/>
  <c r="B194" i="1" s="1"/>
  <c r="L176" i="1"/>
  <c r="E195" i="1" s="1"/>
  <c r="L69" i="4"/>
  <c r="B135" i="4" s="1"/>
  <c r="L10" i="1"/>
  <c r="Q48" i="1"/>
  <c r="L68" i="4"/>
  <c r="L11" i="1"/>
  <c r="R11" i="1"/>
  <c r="T11" i="1"/>
  <c r="S11" i="1"/>
  <c r="P11" i="1"/>
  <c r="Q11" i="1"/>
  <c r="L60" i="4"/>
  <c r="B126" i="4" s="1"/>
  <c r="L12" i="1"/>
  <c r="P9" i="1"/>
  <c r="Q9" i="1"/>
  <c r="S9" i="1"/>
  <c r="R9" i="1"/>
  <c r="T9" i="1"/>
  <c r="R12" i="1"/>
  <c r="Q12" i="1"/>
  <c r="P12" i="1"/>
  <c r="T12" i="1"/>
  <c r="S12" i="1"/>
  <c r="P10" i="1"/>
  <c r="T10" i="1"/>
  <c r="R10" i="1"/>
  <c r="Q10" i="1"/>
  <c r="S10" i="1"/>
  <c r="L71" i="4"/>
  <c r="L54" i="4"/>
  <c r="B120" i="4" s="1"/>
  <c r="L55" i="4"/>
  <c r="B121" i="4" s="1"/>
  <c r="L61" i="4"/>
  <c r="B127" i="4" s="1"/>
  <c r="Q8" i="1"/>
  <c r="S8" i="1"/>
  <c r="P8" i="1"/>
  <c r="R8" i="1"/>
  <c r="T8" i="1"/>
  <c r="Q503" i="1"/>
  <c r="L150" i="1"/>
  <c r="B190" i="1" s="1"/>
  <c r="F503" i="1"/>
  <c r="Q513" i="1"/>
  <c r="L24" i="1"/>
  <c r="S503" i="1"/>
  <c r="F513" i="1"/>
  <c r="P503" i="1"/>
  <c r="L155" i="1"/>
  <c r="B195" i="1" s="1"/>
  <c r="L160" i="1"/>
  <c r="B200" i="1" s="1"/>
  <c r="L73" i="4"/>
  <c r="B139" i="4" s="1"/>
  <c r="Q52" i="1"/>
  <c r="L67" i="4"/>
  <c r="B133" i="4" s="1"/>
  <c r="R48" i="1"/>
  <c r="L208" i="4"/>
  <c r="T48" i="1"/>
  <c r="U199" i="3"/>
  <c r="L56" i="4"/>
  <c r="B122" i="4" s="1"/>
  <c r="L64" i="4"/>
  <c r="B130" i="4" s="1"/>
  <c r="T11" i="3"/>
  <c r="L81" i="4"/>
  <c r="R44" i="1"/>
  <c r="T52" i="1"/>
  <c r="L114" i="4"/>
  <c r="E147" i="4" s="1"/>
  <c r="L59" i="4"/>
  <c r="L58" i="4"/>
  <c r="B124" i="4" s="1"/>
  <c r="L98" i="4"/>
  <c r="E131" i="4" s="1"/>
  <c r="L57" i="4"/>
  <c r="B123" i="4" s="1"/>
  <c r="L80" i="4"/>
  <c r="G241" i="4"/>
  <c r="B339" i="4" s="1"/>
  <c r="L74" i="4"/>
  <c r="L63" i="4"/>
  <c r="B129" i="4" s="1"/>
  <c r="L75" i="4"/>
  <c r="B141" i="4" s="1"/>
  <c r="I240" i="4"/>
  <c r="L209" i="4"/>
  <c r="L66" i="4"/>
  <c r="B132" i="4" s="1"/>
  <c r="L72" i="4"/>
  <c r="I306" i="4"/>
  <c r="L274" i="4"/>
  <c r="L94" i="4"/>
  <c r="E127" i="4" s="1"/>
  <c r="L65" i="4"/>
  <c r="L106" i="4"/>
  <c r="E139" i="4" s="1"/>
  <c r="L89" i="4"/>
  <c r="E122" i="4" s="1"/>
  <c r="L108" i="4"/>
  <c r="E141" i="4" s="1"/>
  <c r="L104" i="4"/>
  <c r="E137" i="4" s="1"/>
  <c r="G240" i="4"/>
  <c r="B338" i="4" s="1"/>
  <c r="L172" i="1"/>
  <c r="E191" i="1" s="1"/>
  <c r="L163" i="1"/>
  <c r="B203" i="1" s="1"/>
  <c r="S9" i="3"/>
  <c r="R52" i="1"/>
  <c r="S45" i="1"/>
  <c r="S52" i="1"/>
  <c r="P52" i="1"/>
  <c r="P44" i="1"/>
  <c r="P50" i="1"/>
  <c r="P45" i="1"/>
  <c r="T45" i="1"/>
  <c r="R45" i="1"/>
  <c r="Q45" i="1"/>
  <c r="S50" i="1"/>
  <c r="O331" i="4"/>
  <c r="K331" i="4"/>
  <c r="N331" i="4"/>
  <c r="E331" i="4"/>
  <c r="M331" i="4"/>
  <c r="L331" i="4"/>
  <c r="R315" i="4"/>
  <c r="H315" i="4"/>
  <c r="I315" i="4" s="1"/>
  <c r="W310" i="4" s="1"/>
  <c r="T315" i="4"/>
  <c r="S315" i="4"/>
  <c r="U310" i="4"/>
  <c r="Q315" i="4"/>
  <c r="V310" i="4" s="1"/>
  <c r="S328" i="4"/>
  <c r="R328" i="4"/>
  <c r="H328" i="4"/>
  <c r="I328" i="4" s="1"/>
  <c r="T328" i="4"/>
  <c r="Q328" i="4"/>
  <c r="U324" i="4"/>
  <c r="M329" i="4"/>
  <c r="L329" i="4"/>
  <c r="O329" i="4"/>
  <c r="N329" i="4"/>
  <c r="E329" i="4"/>
  <c r="K329" i="4"/>
  <c r="M313" i="4"/>
  <c r="N324" i="4"/>
  <c r="E324" i="4"/>
  <c r="K324" i="4"/>
  <c r="O324" i="4"/>
  <c r="M324" i="4"/>
  <c r="L324" i="4"/>
  <c r="B354" i="4"/>
  <c r="G354" i="4" s="1"/>
  <c r="B373" i="4"/>
  <c r="G373" i="4" s="1"/>
  <c r="O319" i="4"/>
  <c r="K319" i="4"/>
  <c r="M319" i="4"/>
  <c r="N319" i="4"/>
  <c r="L319" i="4"/>
  <c r="E319" i="4"/>
  <c r="U309" i="4"/>
  <c r="Q314" i="4"/>
  <c r="V309" i="4" s="1"/>
  <c r="S314" i="4"/>
  <c r="R314" i="4"/>
  <c r="H314" i="4"/>
  <c r="I314" i="4" s="1"/>
  <c r="W309" i="4" s="1"/>
  <c r="T314" i="4"/>
  <c r="F1000" i="1"/>
  <c r="G1001" i="1" s="1"/>
  <c r="G1002" i="1"/>
  <c r="M333" i="4"/>
  <c r="L333" i="4"/>
  <c r="N333" i="4"/>
  <c r="E333" i="4"/>
  <c r="K333" i="4"/>
  <c r="O333" i="4"/>
  <c r="N332" i="4"/>
  <c r="E332" i="4"/>
  <c r="M332" i="4"/>
  <c r="O332" i="4"/>
  <c r="L332" i="4"/>
  <c r="K332" i="4"/>
  <c r="T523" i="1"/>
  <c r="S18" i="3"/>
  <c r="Q14" i="3"/>
  <c r="T323" i="4"/>
  <c r="R323" i="4"/>
  <c r="Q323" i="4"/>
  <c r="U319" i="4"/>
  <c r="H323" i="4"/>
  <c r="I323" i="4" s="1"/>
  <c r="S323" i="4"/>
  <c r="N322" i="4"/>
  <c r="E322" i="4"/>
  <c r="O322" i="4"/>
  <c r="L322" i="4"/>
  <c r="K322" i="4"/>
  <c r="M322" i="4"/>
  <c r="L312" i="4"/>
  <c r="R329" i="4"/>
  <c r="H329" i="4"/>
  <c r="I329" i="4" s="1"/>
  <c r="U325" i="4"/>
  <c r="Q329" i="4"/>
  <c r="S329" i="4"/>
  <c r="T329" i="4"/>
  <c r="T313" i="4"/>
  <c r="R313" i="4"/>
  <c r="H313" i="4"/>
  <c r="I313" i="4" s="1"/>
  <c r="W308" i="4" s="1"/>
  <c r="U308" i="4"/>
  <c r="Q313" i="4"/>
  <c r="V308" i="4" s="1"/>
  <c r="S313" i="4"/>
  <c r="S324" i="4"/>
  <c r="Q324" i="4"/>
  <c r="U320" i="4"/>
  <c r="H324" i="4"/>
  <c r="I324" i="4" s="1"/>
  <c r="T324" i="4"/>
  <c r="R324" i="4"/>
  <c r="T319" i="4"/>
  <c r="S319" i="4"/>
  <c r="Q319" i="4"/>
  <c r="V315" i="4" s="1"/>
  <c r="U315" i="4"/>
  <c r="H319" i="4"/>
  <c r="I319" i="4" s="1"/>
  <c r="W315" i="4" s="1"/>
  <c r="R319" i="4"/>
  <c r="B368" i="4"/>
  <c r="G368" i="4" s="1"/>
  <c r="L314" i="4"/>
  <c r="N314" i="4"/>
  <c r="E314" i="4"/>
  <c r="B349" i="4"/>
  <c r="G349" i="4" s="1"/>
  <c r="M314" i="4"/>
  <c r="O314" i="4"/>
  <c r="K314" i="4"/>
  <c r="P505" i="1"/>
  <c r="T505" i="1"/>
  <c r="F505" i="1"/>
  <c r="S505" i="1"/>
  <c r="R505" i="1"/>
  <c r="Q505" i="1"/>
  <c r="R333" i="4"/>
  <c r="H333" i="4"/>
  <c r="I333" i="4" s="1"/>
  <c r="U329" i="4"/>
  <c r="Q333" i="4"/>
  <c r="T333" i="4"/>
  <c r="S333" i="4"/>
  <c r="T317" i="4"/>
  <c r="R317" i="4"/>
  <c r="H317" i="4"/>
  <c r="I317" i="4" s="1"/>
  <c r="W313" i="4" s="1"/>
  <c r="U313" i="4"/>
  <c r="Q317" i="4"/>
  <c r="V313" i="4" s="1"/>
  <c r="S317" i="4"/>
  <c r="S332" i="4"/>
  <c r="R332" i="4"/>
  <c r="H332" i="4"/>
  <c r="I332" i="4" s="1"/>
  <c r="U328" i="4"/>
  <c r="T332" i="4"/>
  <c r="Q332" i="4"/>
  <c r="P523" i="1"/>
  <c r="L91" i="4"/>
  <c r="E124" i="4" s="1"/>
  <c r="O323" i="4"/>
  <c r="K323" i="4"/>
  <c r="L323" i="4"/>
  <c r="E323" i="4"/>
  <c r="N323" i="4"/>
  <c r="M323" i="4"/>
  <c r="S322" i="4"/>
  <c r="U318" i="4"/>
  <c r="H322" i="4"/>
  <c r="I322" i="4" s="1"/>
  <c r="W318" i="4" s="1"/>
  <c r="T322" i="4"/>
  <c r="R322" i="4"/>
  <c r="Q322" i="4"/>
  <c r="V318" i="4" s="1"/>
  <c r="S312" i="4"/>
  <c r="U307" i="4"/>
  <c r="Q312" i="4"/>
  <c r="V307" i="4" s="1"/>
  <c r="T312" i="4"/>
  <c r="H312" i="4"/>
  <c r="I312" i="4" s="1"/>
  <c r="W307" i="4" s="1"/>
  <c r="R312" i="4"/>
  <c r="R321" i="4"/>
  <c r="H321" i="4"/>
  <c r="I321" i="4" s="1"/>
  <c r="W317" i="4" s="1"/>
  <c r="S321" i="4"/>
  <c r="U317" i="4"/>
  <c r="T321" i="4"/>
  <c r="Q321" i="4"/>
  <c r="V317" i="4" s="1"/>
  <c r="S318" i="4"/>
  <c r="Q318" i="4"/>
  <c r="V314" i="4" s="1"/>
  <c r="T318" i="4"/>
  <c r="R318" i="4"/>
  <c r="H318" i="4"/>
  <c r="I318" i="4" s="1"/>
  <c r="W314" i="4" s="1"/>
  <c r="U314" i="4"/>
  <c r="T327" i="4"/>
  <c r="S327" i="4"/>
  <c r="U323" i="4"/>
  <c r="R327" i="4"/>
  <c r="H327" i="4"/>
  <c r="I327" i="4" s="1"/>
  <c r="Q327" i="4"/>
  <c r="L330" i="4"/>
  <c r="O330" i="4"/>
  <c r="K330" i="4"/>
  <c r="N330" i="4"/>
  <c r="E330" i="4"/>
  <c r="M330" i="4"/>
  <c r="B355" i="4"/>
  <c r="B374" i="4"/>
  <c r="L320" i="4"/>
  <c r="O320" i="4"/>
  <c r="M320" i="4"/>
  <c r="K320" i="4"/>
  <c r="E320" i="4"/>
  <c r="N320" i="4"/>
  <c r="R521" i="1"/>
  <c r="S521" i="1"/>
  <c r="Q521" i="1"/>
  <c r="P521" i="1"/>
  <c r="T521" i="1"/>
  <c r="F521" i="1"/>
  <c r="M325" i="4"/>
  <c r="L325" i="4"/>
  <c r="N325" i="4"/>
  <c r="E325" i="4"/>
  <c r="K325" i="4"/>
  <c r="O325" i="4"/>
  <c r="L326" i="4"/>
  <c r="O326" i="4"/>
  <c r="K326" i="4"/>
  <c r="M326" i="4"/>
  <c r="N326" i="4"/>
  <c r="E326" i="4"/>
  <c r="B351" i="4"/>
  <c r="G351" i="4" s="1"/>
  <c r="Q44" i="1"/>
  <c r="T331" i="4"/>
  <c r="S331" i="4"/>
  <c r="Q331" i="4"/>
  <c r="U327" i="4"/>
  <c r="R331" i="4"/>
  <c r="H331" i="4"/>
  <c r="I331" i="4" s="1"/>
  <c r="B369" i="4"/>
  <c r="G369" i="4" s="1"/>
  <c r="B350" i="4"/>
  <c r="G350" i="4" s="1"/>
  <c r="M315" i="4"/>
  <c r="O315" i="4"/>
  <c r="K315" i="4"/>
  <c r="N315" i="4"/>
  <c r="E315" i="4"/>
  <c r="L315" i="4"/>
  <c r="N328" i="4"/>
  <c r="E328" i="4"/>
  <c r="M328" i="4"/>
  <c r="K328" i="4"/>
  <c r="O328" i="4"/>
  <c r="L328" i="4"/>
  <c r="M321" i="4"/>
  <c r="L321" i="4"/>
  <c r="O321" i="4"/>
  <c r="N321" i="4"/>
  <c r="K321" i="4"/>
  <c r="E321" i="4"/>
  <c r="B353" i="4"/>
  <c r="G353" i="4" s="1"/>
  <c r="B372" i="4"/>
  <c r="G372" i="4" s="1"/>
  <c r="L318" i="4"/>
  <c r="N318" i="4"/>
  <c r="E318" i="4"/>
  <c r="M318" i="4"/>
  <c r="K318" i="4"/>
  <c r="O318" i="4"/>
  <c r="O327" i="4"/>
  <c r="K327" i="4"/>
  <c r="N327" i="4"/>
  <c r="E327" i="4"/>
  <c r="L327" i="4"/>
  <c r="M327" i="4"/>
  <c r="U326" i="4"/>
  <c r="Q330" i="4"/>
  <c r="T330" i="4"/>
  <c r="R330" i="4"/>
  <c r="H330" i="4"/>
  <c r="I330" i="4" s="1"/>
  <c r="S330" i="4"/>
  <c r="U316" i="4"/>
  <c r="Q320" i="4"/>
  <c r="V316" i="4" s="1"/>
  <c r="S320" i="4"/>
  <c r="R320" i="4"/>
  <c r="H320" i="4"/>
  <c r="I320" i="4" s="1"/>
  <c r="W316" i="4" s="1"/>
  <c r="T320" i="4"/>
  <c r="R325" i="4"/>
  <c r="H325" i="4"/>
  <c r="I325" i="4" s="1"/>
  <c r="U321" i="4"/>
  <c r="Q325" i="4"/>
  <c r="T325" i="4"/>
  <c r="S325" i="4"/>
  <c r="U322" i="4"/>
  <c r="Q326" i="4"/>
  <c r="T326" i="4"/>
  <c r="S326" i="4"/>
  <c r="R326" i="4"/>
  <c r="H326" i="4"/>
  <c r="I326" i="4" s="1"/>
  <c r="S316" i="4"/>
  <c r="U312" i="4"/>
  <c r="Q316" i="4"/>
  <c r="V312" i="4" s="1"/>
  <c r="T316" i="4"/>
  <c r="R316" i="4"/>
  <c r="H316" i="4"/>
  <c r="I316" i="4" s="1"/>
  <c r="W312" i="4" s="1"/>
  <c r="T44" i="1"/>
  <c r="Q50" i="1"/>
  <c r="S21" i="3"/>
  <c r="S12" i="3"/>
  <c r="S15" i="3"/>
  <c r="U17" i="3"/>
  <c r="R50" i="1"/>
  <c r="T50" i="1"/>
  <c r="S44" i="1"/>
  <c r="T8" i="3"/>
  <c r="S14" i="3"/>
  <c r="L185" i="1"/>
  <c r="E204" i="1" s="1"/>
  <c r="L273" i="4"/>
  <c r="L103" i="4"/>
  <c r="E136" i="4" s="1"/>
  <c r="K305" i="4"/>
  <c r="L93" i="4"/>
  <c r="E126" i="4" s="1"/>
  <c r="L96" i="4"/>
  <c r="E129" i="4" s="1"/>
  <c r="L90" i="4"/>
  <c r="E123" i="4" s="1"/>
  <c r="L87" i="4"/>
  <c r="E120" i="4" s="1"/>
  <c r="L174" i="1"/>
  <c r="E193" i="1" s="1"/>
  <c r="L173" i="1"/>
  <c r="E192" i="1" s="1"/>
  <c r="T29" i="1"/>
  <c r="L153" i="1"/>
  <c r="B193" i="1" s="1"/>
  <c r="L179" i="1"/>
  <c r="E198" i="1" s="1"/>
  <c r="S199" i="3"/>
  <c r="S17" i="3"/>
  <c r="T15" i="3"/>
  <c r="Q11" i="3"/>
  <c r="Q17" i="3"/>
  <c r="Q15" i="3"/>
  <c r="R17" i="3"/>
  <c r="U11" i="3"/>
  <c r="R11" i="3"/>
  <c r="S11" i="3"/>
  <c r="U15" i="3"/>
  <c r="T17" i="3"/>
  <c r="R15" i="3"/>
  <c r="Q9" i="3"/>
  <c r="T14" i="3"/>
  <c r="Q8" i="3"/>
  <c r="U21" i="3"/>
  <c r="Q18" i="3"/>
  <c r="U9" i="3"/>
  <c r="U14" i="3"/>
  <c r="R8" i="3"/>
  <c r="S8" i="3"/>
  <c r="R9" i="3"/>
  <c r="R14" i="3"/>
  <c r="Q12" i="3"/>
  <c r="T18" i="3"/>
  <c r="T12" i="3"/>
  <c r="R12" i="3"/>
  <c r="U18" i="3"/>
  <c r="L162" i="1"/>
  <c r="B202" i="1" s="1"/>
  <c r="L182" i="1"/>
  <c r="E201" i="1" s="1"/>
  <c r="L161" i="1"/>
  <c r="B201" i="1" s="1"/>
  <c r="L151" i="1"/>
  <c r="B191" i="1" s="1"/>
  <c r="L180" i="1"/>
  <c r="E199" i="1" s="1"/>
  <c r="L184" i="1"/>
  <c r="E203" i="1" s="1"/>
  <c r="L175" i="1"/>
  <c r="E194" i="1" s="1"/>
  <c r="L158" i="1"/>
  <c r="B198" i="1" s="1"/>
  <c r="L159" i="1"/>
  <c r="B199" i="1" s="1"/>
  <c r="L95" i="4"/>
  <c r="E128" i="4" s="1"/>
  <c r="L107" i="4"/>
  <c r="E140" i="4" s="1"/>
  <c r="L102" i="4"/>
  <c r="E135" i="4" s="1"/>
  <c r="L99" i="4"/>
  <c r="E132" i="4" s="1"/>
  <c r="L183" i="1"/>
  <c r="E202" i="1" s="1"/>
  <c r="L164" i="1"/>
  <c r="B204" i="1" s="1"/>
  <c r="L152" i="1"/>
  <c r="B192" i="1" s="1"/>
  <c r="L171" i="1"/>
  <c r="E190" i="1" s="1"/>
  <c r="P29" i="1"/>
  <c r="L181" i="1"/>
  <c r="E200" i="1" s="1"/>
  <c r="T21" i="3"/>
  <c r="U8" i="3"/>
  <c r="U12" i="3"/>
  <c r="Q21" i="3"/>
  <c r="R21" i="3"/>
  <c r="R18" i="3"/>
  <c r="S202" i="3"/>
  <c r="T198" i="3"/>
  <c r="E199" i="3"/>
  <c r="E202" i="3"/>
  <c r="Q199" i="3"/>
  <c r="R201" i="3"/>
  <c r="Q201" i="3"/>
  <c r="U201" i="3"/>
  <c r="T201" i="3"/>
  <c r="R205" i="3"/>
  <c r="R198" i="3"/>
  <c r="E201" i="3"/>
  <c r="T202" i="3"/>
  <c r="Q198" i="3"/>
  <c r="Q202" i="3"/>
  <c r="R202" i="3"/>
  <c r="U202" i="3"/>
  <c r="S201" i="3"/>
  <c r="S7" i="1"/>
  <c r="Q7" i="1"/>
  <c r="T7" i="1"/>
  <c r="R7" i="1"/>
  <c r="L7" i="1"/>
  <c r="P7" i="1"/>
  <c r="L97" i="4"/>
  <c r="E130" i="4" s="1"/>
  <c r="L100" i="4"/>
  <c r="E133" i="4" s="1"/>
  <c r="P24" i="1"/>
  <c r="S24" i="1"/>
  <c r="R32" i="1"/>
  <c r="L31" i="1"/>
  <c r="Q24" i="1"/>
  <c r="L23" i="1"/>
  <c r="P23" i="1"/>
  <c r="T24" i="1"/>
  <c r="S32" i="1"/>
  <c r="T32" i="1"/>
  <c r="P32" i="1"/>
  <c r="R24" i="1"/>
  <c r="L20" i="1"/>
  <c r="L29" i="1"/>
  <c r="S31" i="1"/>
  <c r="R31" i="1"/>
  <c r="Q32" i="1"/>
  <c r="T31" i="1"/>
  <c r="R29" i="1"/>
  <c r="L32" i="1"/>
  <c r="S29" i="1"/>
  <c r="R20" i="1"/>
  <c r="Q29" i="1"/>
  <c r="T34" i="1"/>
  <c r="P34" i="1"/>
  <c r="S34" i="1"/>
  <c r="R34" i="1"/>
  <c r="Q34" i="1"/>
  <c r="L34" i="1"/>
  <c r="T23" i="1"/>
  <c r="Q22" i="1"/>
  <c r="T22" i="1"/>
  <c r="P22" i="1"/>
  <c r="S22" i="1"/>
  <c r="R22" i="1"/>
  <c r="L22" i="1"/>
  <c r="L25" i="1"/>
  <c r="S25" i="1"/>
  <c r="R25" i="1"/>
  <c r="L21" i="1"/>
  <c r="T21" i="1"/>
  <c r="R21" i="1"/>
  <c r="P21" i="1"/>
  <c r="S21" i="1"/>
  <c r="Q21" i="1"/>
  <c r="P33" i="1"/>
  <c r="S33" i="1"/>
  <c r="T33" i="1"/>
  <c r="R33" i="1"/>
  <c r="Q33" i="1"/>
  <c r="L33" i="1"/>
  <c r="L28" i="1"/>
  <c r="P28" i="1"/>
  <c r="Q28" i="1"/>
  <c r="R28" i="1"/>
  <c r="S28" i="1"/>
  <c r="T28" i="1"/>
  <c r="P31" i="1"/>
  <c r="Q31" i="1"/>
  <c r="R23" i="1"/>
  <c r="S20" i="1"/>
  <c r="Q20" i="1"/>
  <c r="T20" i="1"/>
  <c r="L30" i="1"/>
  <c r="R30" i="1"/>
  <c r="T30" i="1"/>
  <c r="Q30" i="1"/>
  <c r="P30" i="1"/>
  <c r="S30" i="1"/>
  <c r="P25" i="1"/>
  <c r="P20" i="1"/>
  <c r="S23" i="1"/>
  <c r="Q23" i="1"/>
  <c r="T25" i="1"/>
  <c r="Q25" i="1"/>
  <c r="F528" i="1"/>
  <c r="R523" i="1"/>
  <c r="P507" i="1"/>
  <c r="P512" i="1"/>
  <c r="R512" i="1"/>
  <c r="Q512" i="1"/>
  <c r="T512" i="1"/>
  <c r="F512" i="1"/>
  <c r="S512" i="1"/>
  <c r="T507" i="1"/>
  <c r="S523" i="1"/>
  <c r="F531" i="1"/>
  <c r="P531" i="1"/>
  <c r="R531" i="1"/>
  <c r="S531" i="1"/>
  <c r="Q531" i="1"/>
  <c r="T531" i="1"/>
  <c r="Q507" i="1"/>
  <c r="F507" i="1"/>
  <c r="S507" i="1"/>
  <c r="P515" i="1"/>
  <c r="U198" i="3"/>
  <c r="T199" i="3"/>
  <c r="R199" i="3"/>
  <c r="S198" i="3"/>
  <c r="E198" i="3"/>
  <c r="S271" i="1"/>
  <c r="T270" i="1"/>
  <c r="R271" i="1"/>
  <c r="P271" i="1"/>
  <c r="T271" i="1"/>
  <c r="Q265" i="1"/>
  <c r="S270" i="1"/>
  <c r="F271" i="1"/>
  <c r="R270" i="1"/>
  <c r="P270" i="1"/>
  <c r="Q271" i="1"/>
  <c r="F270" i="1"/>
  <c r="R268" i="1"/>
  <c r="Q270" i="1"/>
  <c r="T268" i="1"/>
  <c r="S269" i="1"/>
  <c r="F268" i="1"/>
  <c r="P272" i="1"/>
  <c r="F272" i="1"/>
  <c r="R269" i="1"/>
  <c r="S272" i="1"/>
  <c r="T272" i="1"/>
  <c r="R265" i="1"/>
  <c r="Q266" i="1"/>
  <c r="P265" i="1"/>
  <c r="P268" i="1"/>
  <c r="R272" i="1"/>
  <c r="T269" i="1"/>
  <c r="Q274" i="1"/>
  <c r="P269" i="1"/>
  <c r="S266" i="1"/>
  <c r="J111" i="1"/>
  <c r="B133" i="1" s="1"/>
  <c r="J105" i="1"/>
  <c r="B127" i="1" s="1"/>
  <c r="J122" i="1"/>
  <c r="E133" i="1" s="1"/>
  <c r="R274" i="1"/>
  <c r="S268" i="1"/>
  <c r="Q268" i="1"/>
  <c r="R266" i="1"/>
  <c r="T265" i="1"/>
  <c r="S265" i="1"/>
  <c r="F872" i="1"/>
  <c r="G871" i="1"/>
  <c r="B937" i="1" s="1"/>
  <c r="Q934" i="1"/>
  <c r="S934" i="1"/>
  <c r="P934" i="1"/>
  <c r="T934" i="1"/>
  <c r="R934" i="1"/>
  <c r="I913" i="1"/>
  <c r="D935" i="1" s="1"/>
  <c r="E935" i="1" s="1"/>
  <c r="H914" i="1"/>
  <c r="J121" i="1"/>
  <c r="E131" i="1" s="1"/>
  <c r="E132" i="1" s="1"/>
  <c r="J106" i="1"/>
  <c r="B128" i="1" s="1"/>
  <c r="J118" i="1"/>
  <c r="E127" i="1" s="1"/>
  <c r="J108" i="1"/>
  <c r="B130" i="1" s="1"/>
  <c r="J120" i="1"/>
  <c r="E130" i="1" s="1"/>
  <c r="J109" i="1"/>
  <c r="B131" i="1" s="1"/>
  <c r="J119" i="1"/>
  <c r="E128" i="1" s="1"/>
  <c r="E129" i="1" s="1"/>
  <c r="F275" i="1"/>
  <c r="F274" i="1"/>
  <c r="S274" i="1"/>
  <c r="F266" i="1"/>
  <c r="P274" i="1"/>
  <c r="T274" i="1"/>
  <c r="T266" i="1"/>
  <c r="P266" i="1"/>
  <c r="Q100" i="3"/>
  <c r="F100" i="3"/>
  <c r="Q90" i="3"/>
  <c r="F90" i="3"/>
  <c r="Q96" i="3"/>
  <c r="F96" i="3"/>
  <c r="Q91" i="3"/>
  <c r="F91" i="3"/>
  <c r="Q97" i="3"/>
  <c r="F97" i="3"/>
  <c r="Q93" i="3"/>
  <c r="F93" i="3"/>
  <c r="Q99" i="3"/>
  <c r="F99" i="3"/>
  <c r="Q94" i="3"/>
  <c r="F94" i="3"/>
  <c r="M316" i="4" l="1"/>
  <c r="T207" i="3"/>
  <c r="R207" i="3"/>
  <c r="U207" i="3"/>
  <c r="Q207" i="3"/>
  <c r="S207" i="3"/>
  <c r="D105" i="8"/>
  <c r="J105" i="8" s="1"/>
  <c r="E207" i="3"/>
  <c r="D96" i="8"/>
  <c r="I96" i="8" s="1"/>
  <c r="D100" i="8"/>
  <c r="D97" i="8"/>
  <c r="D99" i="8"/>
  <c r="H99" i="8" s="1"/>
  <c r="J99" i="8"/>
  <c r="G99" i="8"/>
  <c r="I99" i="8"/>
  <c r="K99" i="8"/>
  <c r="F99" i="8"/>
  <c r="I95" i="8"/>
  <c r="H95" i="8"/>
  <c r="K95" i="8"/>
  <c r="J95" i="8"/>
  <c r="F95" i="8"/>
  <c r="G95" i="8"/>
  <c r="I98" i="8"/>
  <c r="G98" i="8"/>
  <c r="K98" i="8"/>
  <c r="H98" i="8"/>
  <c r="F98" i="8"/>
  <c r="J98" i="8"/>
  <c r="F105" i="8"/>
  <c r="J103" i="8"/>
  <c r="K103" i="8"/>
  <c r="G103" i="8"/>
  <c r="F103" i="8"/>
  <c r="H103" i="8"/>
  <c r="I103" i="8"/>
  <c r="F96" i="8"/>
  <c r="K96" i="8"/>
  <c r="H96" i="8"/>
  <c r="G96" i="8"/>
  <c r="J96" i="8"/>
  <c r="J104" i="8"/>
  <c r="G104" i="8"/>
  <c r="K104" i="8"/>
  <c r="I104" i="8"/>
  <c r="F104" i="8"/>
  <c r="H104" i="8"/>
  <c r="K100" i="8"/>
  <c r="J100" i="8"/>
  <c r="F100" i="8"/>
  <c r="H100" i="8"/>
  <c r="G100" i="8"/>
  <c r="I100" i="8"/>
  <c r="K101" i="8"/>
  <c r="G101" i="8"/>
  <c r="J101" i="8"/>
  <c r="I101" i="8"/>
  <c r="H101" i="8"/>
  <c r="F101" i="8"/>
  <c r="G97" i="8"/>
  <c r="H97" i="8"/>
  <c r="F97" i="8"/>
  <c r="I97" i="8"/>
  <c r="K97" i="8"/>
  <c r="J97" i="8"/>
  <c r="E209" i="3"/>
  <c r="D107" i="8" s="1"/>
  <c r="Q209" i="3"/>
  <c r="R209" i="3"/>
  <c r="S209" i="3"/>
  <c r="T209" i="3"/>
  <c r="U209" i="3"/>
  <c r="T205" i="3"/>
  <c r="U205" i="3"/>
  <c r="S205" i="3"/>
  <c r="Q205" i="3"/>
  <c r="R211" i="3"/>
  <c r="S211" i="3"/>
  <c r="Q211" i="3"/>
  <c r="U211" i="3"/>
  <c r="T211" i="3"/>
  <c r="E211" i="3"/>
  <c r="D109" i="8" s="1"/>
  <c r="H153" i="3"/>
  <c r="B210" i="3" s="1"/>
  <c r="E210" i="3" s="1"/>
  <c r="D108" i="8" s="1"/>
  <c r="H151" i="3"/>
  <c r="B208" i="3" s="1"/>
  <c r="R204" i="3"/>
  <c r="Q204" i="3"/>
  <c r="U204" i="3"/>
  <c r="S204" i="3"/>
  <c r="E204" i="3"/>
  <c r="D102" i="8" s="1"/>
  <c r="T204" i="3"/>
  <c r="G22" i="8"/>
  <c r="F22" i="8"/>
  <c r="J22" i="8"/>
  <c r="I22" i="8"/>
  <c r="K22" i="8"/>
  <c r="H29" i="8"/>
  <c r="G29" i="8"/>
  <c r="F29" i="8"/>
  <c r="J29" i="8"/>
  <c r="K29" i="8"/>
  <c r="I29" i="8"/>
  <c r="K28" i="8"/>
  <c r="H28" i="8"/>
  <c r="I28" i="8"/>
  <c r="G28" i="8"/>
  <c r="J28" i="8"/>
  <c r="F28" i="8"/>
  <c r="M24" i="14"/>
  <c r="D27" i="8"/>
  <c r="F30" i="8"/>
  <c r="K30" i="8"/>
  <c r="I30" i="8"/>
  <c r="G30" i="8"/>
  <c r="H30" i="8"/>
  <c r="J30" i="8"/>
  <c r="I31" i="8"/>
  <c r="J31" i="8"/>
  <c r="F31" i="8"/>
  <c r="K31" i="8"/>
  <c r="H31" i="8"/>
  <c r="G31" i="8"/>
  <c r="G25" i="8"/>
  <c r="K25" i="8"/>
  <c r="H25" i="8"/>
  <c r="F25" i="8"/>
  <c r="J25" i="8"/>
  <c r="I25" i="8"/>
  <c r="M22" i="14"/>
  <c r="D24" i="8"/>
  <c r="G26" i="8"/>
  <c r="I26" i="8"/>
  <c r="K26" i="8"/>
  <c r="H26" i="8"/>
  <c r="J26" i="8"/>
  <c r="F26" i="8"/>
  <c r="M21" i="14"/>
  <c r="D23" i="8"/>
  <c r="K316" i="4"/>
  <c r="O316" i="4"/>
  <c r="L316" i="4"/>
  <c r="N316" i="4"/>
  <c r="B370" i="4"/>
  <c r="G370" i="4" s="1"/>
  <c r="R770" i="1"/>
  <c r="V770" i="1" s="1"/>
  <c r="T526" i="1"/>
  <c r="S526" i="1"/>
  <c r="T530" i="1"/>
  <c r="R530" i="1"/>
  <c r="S530" i="1"/>
  <c r="Q530" i="1"/>
  <c r="P530" i="1"/>
  <c r="G710" i="1"/>
  <c r="B767" i="1" s="1"/>
  <c r="Q516" i="1"/>
  <c r="F516" i="1"/>
  <c r="R516" i="1"/>
  <c r="S516" i="1"/>
  <c r="F527" i="1"/>
  <c r="S527" i="1"/>
  <c r="P527" i="1"/>
  <c r="R532" i="1"/>
  <c r="Q532" i="1"/>
  <c r="T532" i="1"/>
  <c r="R527" i="1"/>
  <c r="T527" i="1"/>
  <c r="D21" i="7"/>
  <c r="K313" i="4"/>
  <c r="O313" i="4"/>
  <c r="B348" i="4"/>
  <c r="G348" i="4" s="1"/>
  <c r="V344" i="4" s="1"/>
  <c r="N313" i="4"/>
  <c r="B367" i="4"/>
  <c r="G367" i="4" s="1"/>
  <c r="L367" i="4" s="1"/>
  <c r="L313" i="4"/>
  <c r="D20" i="7"/>
  <c r="D24" i="7"/>
  <c r="D23" i="7"/>
  <c r="D25" i="7"/>
  <c r="D26" i="7"/>
  <c r="D22" i="7"/>
  <c r="G719" i="1"/>
  <c r="B776" i="1" s="1"/>
  <c r="F506" i="1"/>
  <c r="S515" i="1"/>
  <c r="Q515" i="1"/>
  <c r="F532" i="1"/>
  <c r="I706" i="1"/>
  <c r="F763" i="1" s="1"/>
  <c r="T515" i="1"/>
  <c r="R515" i="1"/>
  <c r="S532" i="1"/>
  <c r="F526" i="1"/>
  <c r="T502" i="1"/>
  <c r="R520" i="1"/>
  <c r="P526" i="1"/>
  <c r="Q526" i="1"/>
  <c r="Q520" i="1"/>
  <c r="P520" i="1"/>
  <c r="F520" i="1"/>
  <c r="Q502" i="1"/>
  <c r="R526" i="1"/>
  <c r="S520" i="1"/>
  <c r="I756" i="1"/>
  <c r="D775" i="1" s="1"/>
  <c r="I716" i="1"/>
  <c r="F773" i="1" s="1"/>
  <c r="B347" i="4"/>
  <c r="G347" i="4" s="1"/>
  <c r="M347" i="4" s="1"/>
  <c r="E312" i="4"/>
  <c r="N312" i="4"/>
  <c r="M312" i="4"/>
  <c r="B366" i="4"/>
  <c r="G366" i="4" s="1"/>
  <c r="L366" i="4" s="1"/>
  <c r="O312" i="4"/>
  <c r="F127" i="1"/>
  <c r="N112" i="6" s="1"/>
  <c r="S506" i="1"/>
  <c r="M317" i="4"/>
  <c r="F502" i="1"/>
  <c r="G713" i="1"/>
  <c r="B770" i="1" s="1"/>
  <c r="M770" i="1" s="1"/>
  <c r="P502" i="1"/>
  <c r="S502" i="1"/>
  <c r="M377" i="4"/>
  <c r="S770" i="1"/>
  <c r="T506" i="1"/>
  <c r="Q506" i="1"/>
  <c r="R506" i="1"/>
  <c r="K317" i="4"/>
  <c r="O317" i="4"/>
  <c r="O771" i="1"/>
  <c r="B371" i="4"/>
  <c r="G371" i="4" s="1"/>
  <c r="V367" i="4" s="1"/>
  <c r="E376" i="4"/>
  <c r="O378" i="4"/>
  <c r="N317" i="4"/>
  <c r="B352" i="4"/>
  <c r="G352" i="4" s="1"/>
  <c r="M352" i="4" s="1"/>
  <c r="E377" i="4"/>
  <c r="L317" i="4"/>
  <c r="G712" i="1"/>
  <c r="B769" i="1" s="1"/>
  <c r="K375" i="4"/>
  <c r="K378" i="4"/>
  <c r="E378" i="4"/>
  <c r="O377" i="4"/>
  <c r="I711" i="1"/>
  <c r="F768" i="1" s="1"/>
  <c r="E375" i="4"/>
  <c r="L376" i="4"/>
  <c r="L378" i="4"/>
  <c r="O376" i="4"/>
  <c r="M375" i="4"/>
  <c r="B138" i="4"/>
  <c r="D77" i="5" s="1"/>
  <c r="B140" i="4"/>
  <c r="D79" i="5" s="1"/>
  <c r="B125" i="4"/>
  <c r="D64" i="5" s="1"/>
  <c r="B134" i="4"/>
  <c r="D73" i="5" s="1"/>
  <c r="B128" i="4"/>
  <c r="D67" i="5" s="1"/>
  <c r="B131" i="4"/>
  <c r="D70" i="5" s="1"/>
  <c r="B146" i="4"/>
  <c r="D85" i="5" s="1"/>
  <c r="B147" i="4"/>
  <c r="B137" i="4"/>
  <c r="D76" i="5" s="1"/>
  <c r="M376" i="4"/>
  <c r="L375" i="4"/>
  <c r="K377" i="4"/>
  <c r="D71" i="5"/>
  <c r="D82" i="5"/>
  <c r="K376" i="4"/>
  <c r="N378" i="4"/>
  <c r="O375" i="4"/>
  <c r="L377" i="4"/>
  <c r="D81" i="5"/>
  <c r="D69" i="5"/>
  <c r="D72" i="5"/>
  <c r="D66" i="5"/>
  <c r="D83" i="5"/>
  <c r="N376" i="4"/>
  <c r="N375" i="4"/>
  <c r="M378" i="4"/>
  <c r="N377" i="4"/>
  <c r="D62" i="5"/>
  <c r="D61" i="5"/>
  <c r="D60" i="5"/>
  <c r="J60" i="5" s="1"/>
  <c r="D80" i="5"/>
  <c r="D78" i="5"/>
  <c r="D59" i="5"/>
  <c r="D74" i="5"/>
  <c r="D84" i="5"/>
  <c r="D68" i="5"/>
  <c r="D63" i="5"/>
  <c r="D65" i="5"/>
  <c r="D75" i="5"/>
  <c r="O337" i="4"/>
  <c r="K337" i="4"/>
  <c r="N337" i="4"/>
  <c r="L337" i="4"/>
  <c r="M337" i="4"/>
  <c r="E337" i="4"/>
  <c r="K335" i="4"/>
  <c r="E335" i="4"/>
  <c r="L335" i="4"/>
  <c r="M335" i="4"/>
  <c r="N335" i="4"/>
  <c r="O335" i="4"/>
  <c r="K334" i="4"/>
  <c r="L334" i="4"/>
  <c r="M334" i="4"/>
  <c r="O334" i="4"/>
  <c r="N334" i="4"/>
  <c r="L336" i="4"/>
  <c r="M336" i="4"/>
  <c r="K336" i="4"/>
  <c r="N336" i="4"/>
  <c r="E336" i="4"/>
  <c r="O336" i="4"/>
  <c r="O338" i="4"/>
  <c r="B379" i="4"/>
  <c r="D339" i="4"/>
  <c r="N339" i="4" s="1"/>
  <c r="D380" i="4"/>
  <c r="B380" i="4"/>
  <c r="L771" i="1"/>
  <c r="E771" i="1"/>
  <c r="N771" i="1"/>
  <c r="M771" i="1"/>
  <c r="P528" i="1"/>
  <c r="G717" i="1"/>
  <c r="B774" i="1" s="1"/>
  <c r="R528" i="1"/>
  <c r="H770" i="1"/>
  <c r="I770" i="1" s="1"/>
  <c r="U770" i="1" s="1"/>
  <c r="T528" i="1"/>
  <c r="Q528" i="1"/>
  <c r="G718" i="1"/>
  <c r="B775" i="1" s="1"/>
  <c r="S775" i="1"/>
  <c r="H775" i="1"/>
  <c r="L98" i="12" s="1"/>
  <c r="R775" i="1"/>
  <c r="V775" i="1" s="1"/>
  <c r="I714" i="1"/>
  <c r="F771" i="1" s="1"/>
  <c r="H771" i="1" s="1"/>
  <c r="I771" i="1" s="1"/>
  <c r="G708" i="1"/>
  <c r="B765" i="1" s="1"/>
  <c r="I707" i="1"/>
  <c r="F764" i="1" s="1"/>
  <c r="G707" i="1"/>
  <c r="B764" i="1" s="1"/>
  <c r="I709" i="1"/>
  <c r="F766" i="1" s="1"/>
  <c r="K744" i="1"/>
  <c r="G763" i="1" s="1"/>
  <c r="I744" i="1"/>
  <c r="D763" i="1" s="1"/>
  <c r="K757" i="1"/>
  <c r="G776" i="1" s="1"/>
  <c r="I757" i="1"/>
  <c r="D776" i="1" s="1"/>
  <c r="K748" i="1"/>
  <c r="G767" i="1" s="1"/>
  <c r="I748" i="1"/>
  <c r="D767" i="1" s="1"/>
  <c r="I745" i="1"/>
  <c r="D764" i="1" s="1"/>
  <c r="K745" i="1"/>
  <c r="G764" i="1" s="1"/>
  <c r="I754" i="1"/>
  <c r="D773" i="1" s="1"/>
  <c r="K754" i="1"/>
  <c r="G773" i="1" s="1"/>
  <c r="K747" i="1"/>
  <c r="G766" i="1" s="1"/>
  <c r="I747" i="1"/>
  <c r="D766" i="1" s="1"/>
  <c r="I746" i="1"/>
  <c r="D765" i="1" s="1"/>
  <c r="K746" i="1"/>
  <c r="G765" i="1" s="1"/>
  <c r="K758" i="1"/>
  <c r="G777" i="1" s="1"/>
  <c r="I758" i="1"/>
  <c r="D777" i="1" s="1"/>
  <c r="I749" i="1"/>
  <c r="D768" i="1" s="1"/>
  <c r="K749" i="1"/>
  <c r="G768" i="1" s="1"/>
  <c r="G715" i="1"/>
  <c r="B772" i="1" s="1"/>
  <c r="I715" i="1"/>
  <c r="F772" i="1" s="1"/>
  <c r="I755" i="1"/>
  <c r="D774" i="1" s="1"/>
  <c r="K755" i="1"/>
  <c r="G774" i="1" s="1"/>
  <c r="I720" i="1"/>
  <c r="F777" i="1" s="1"/>
  <c r="G720" i="1"/>
  <c r="B777" i="1" s="1"/>
  <c r="I750" i="1"/>
  <c r="D769" i="1" s="1"/>
  <c r="K750" i="1"/>
  <c r="G769" i="1" s="1"/>
  <c r="Q103" i="3"/>
  <c r="V103" i="3"/>
  <c r="Q102" i="3"/>
  <c r="F102" i="3"/>
  <c r="V102" i="3"/>
  <c r="R103" i="3"/>
  <c r="U102" i="3"/>
  <c r="T102" i="3"/>
  <c r="S102" i="3"/>
  <c r="R102" i="3"/>
  <c r="T103" i="3"/>
  <c r="F103" i="3"/>
  <c r="M59" i="14" s="1"/>
  <c r="U103" i="3"/>
  <c r="S103" i="3"/>
  <c r="P142" i="4"/>
  <c r="D25" i="14"/>
  <c r="P25" i="14" s="1"/>
  <c r="N141" i="6"/>
  <c r="T142" i="4"/>
  <c r="F142" i="4"/>
  <c r="P145" i="4"/>
  <c r="S142" i="4"/>
  <c r="Q142" i="4"/>
  <c r="R142" i="4"/>
  <c r="P120" i="4"/>
  <c r="S145" i="4"/>
  <c r="F145" i="4"/>
  <c r="Q145" i="4"/>
  <c r="T145" i="4"/>
  <c r="R145" i="4"/>
  <c r="S143" i="4"/>
  <c r="R143" i="4"/>
  <c r="Q143" i="4"/>
  <c r="T143" i="4"/>
  <c r="P143" i="4"/>
  <c r="F143" i="4"/>
  <c r="Q144" i="4"/>
  <c r="R144" i="4"/>
  <c r="P144" i="4"/>
  <c r="F144" i="4"/>
  <c r="T144" i="4"/>
  <c r="S144" i="4"/>
  <c r="F127" i="4"/>
  <c r="S196" i="1"/>
  <c r="Q196" i="1"/>
  <c r="P196" i="1"/>
  <c r="F196" i="1"/>
  <c r="D30" i="5" s="1"/>
  <c r="G30" i="5" s="1"/>
  <c r="R196" i="1"/>
  <c r="T196" i="1"/>
  <c r="Q197" i="1"/>
  <c r="R197" i="1"/>
  <c r="S197" i="1"/>
  <c r="T197" i="1"/>
  <c r="P197" i="1"/>
  <c r="F197" i="1"/>
  <c r="D31" i="5" s="1"/>
  <c r="G31" i="5" s="1"/>
  <c r="F136" i="4"/>
  <c r="M61" i="12" s="1"/>
  <c r="R121" i="4"/>
  <c r="F195" i="1"/>
  <c r="D29" i="5" s="1"/>
  <c r="P121" i="4"/>
  <c r="Q128" i="1"/>
  <c r="R128" i="1"/>
  <c r="P128" i="1"/>
  <c r="S128" i="1"/>
  <c r="F128" i="1"/>
  <c r="T128" i="1"/>
  <c r="T131" i="1"/>
  <c r="P131" i="1"/>
  <c r="Q131" i="1"/>
  <c r="R131" i="1"/>
  <c r="F131" i="1"/>
  <c r="S131" i="1"/>
  <c r="P132" i="1"/>
  <c r="T132" i="1"/>
  <c r="F132" i="1"/>
  <c r="Q132" i="1"/>
  <c r="R132" i="1"/>
  <c r="S132" i="1"/>
  <c r="P133" i="1"/>
  <c r="F133" i="1"/>
  <c r="Q133" i="1"/>
  <c r="R133" i="1"/>
  <c r="S133" i="1"/>
  <c r="T133" i="1"/>
  <c r="S130" i="1"/>
  <c r="T130" i="1"/>
  <c r="R130" i="1"/>
  <c r="P130" i="1"/>
  <c r="F130" i="1"/>
  <c r="Q130" i="1"/>
  <c r="F129" i="1"/>
  <c r="R129" i="1"/>
  <c r="S129" i="1"/>
  <c r="T129" i="1"/>
  <c r="P129" i="1"/>
  <c r="Q129" i="1"/>
  <c r="R194" i="1"/>
  <c r="S121" i="4"/>
  <c r="T121" i="4"/>
  <c r="S190" i="1"/>
  <c r="Q135" i="4"/>
  <c r="S195" i="1"/>
  <c r="P126" i="4"/>
  <c r="S127" i="4"/>
  <c r="F190" i="1"/>
  <c r="D24" i="5" s="1"/>
  <c r="F24" i="5" s="1"/>
  <c r="R127" i="4"/>
  <c r="Q121" i="4"/>
  <c r="T133" i="4"/>
  <c r="F191" i="1"/>
  <c r="D25" i="5" s="1"/>
  <c r="Q130" i="4"/>
  <c r="P122" i="4"/>
  <c r="P194" i="1"/>
  <c r="F121" i="4"/>
  <c r="C44" i="6" s="1"/>
  <c r="D44" i="6" s="1"/>
  <c r="F200" i="1"/>
  <c r="D34" i="5" s="1"/>
  <c r="R195" i="1"/>
  <c r="F139" i="4"/>
  <c r="C93" i="6" s="1"/>
  <c r="F93" i="6" s="1"/>
  <c r="Q195" i="1"/>
  <c r="T195" i="1"/>
  <c r="P195" i="1"/>
  <c r="P203" i="1"/>
  <c r="T202" i="1"/>
  <c r="Q122" i="4"/>
  <c r="R123" i="4"/>
  <c r="S132" i="4"/>
  <c r="T132" i="4"/>
  <c r="Q124" i="4"/>
  <c r="Q139" i="4"/>
  <c r="S139" i="4"/>
  <c r="P123" i="4"/>
  <c r="R141" i="4"/>
  <c r="T123" i="4"/>
  <c r="Q127" i="4"/>
  <c r="S123" i="4"/>
  <c r="P127" i="4"/>
  <c r="T127" i="4"/>
  <c r="Q141" i="4"/>
  <c r="K338" i="4"/>
  <c r="F141" i="4"/>
  <c r="R129" i="4"/>
  <c r="R122" i="4"/>
  <c r="F123" i="4"/>
  <c r="S141" i="4"/>
  <c r="Q123" i="4"/>
  <c r="T122" i="4"/>
  <c r="F122" i="4"/>
  <c r="S122" i="4"/>
  <c r="P124" i="4"/>
  <c r="T129" i="4"/>
  <c r="T139" i="4"/>
  <c r="R139" i="4"/>
  <c r="S136" i="4"/>
  <c r="P139" i="4"/>
  <c r="Q129" i="4"/>
  <c r="P141" i="4"/>
  <c r="R120" i="4"/>
  <c r="T141" i="4"/>
  <c r="N338" i="4"/>
  <c r="L338" i="4"/>
  <c r="T126" i="4"/>
  <c r="M338" i="4"/>
  <c r="E338" i="4"/>
  <c r="T135" i="4"/>
  <c r="T120" i="4"/>
  <c r="Q126" i="4"/>
  <c r="R201" i="1"/>
  <c r="F193" i="1"/>
  <c r="D27" i="5" s="1"/>
  <c r="R200" i="1"/>
  <c r="R204" i="1"/>
  <c r="P200" i="1"/>
  <c r="Q200" i="1"/>
  <c r="Q192" i="1"/>
  <c r="C139" i="6"/>
  <c r="Q139" i="6" s="1"/>
  <c r="T369" i="4"/>
  <c r="N369" i="4"/>
  <c r="S369" i="4"/>
  <c r="M369" i="4"/>
  <c r="V365" i="4"/>
  <c r="L369" i="4"/>
  <c r="U365" i="4"/>
  <c r="K369" i="4"/>
  <c r="S354" i="4"/>
  <c r="M354" i="4"/>
  <c r="V350" i="4"/>
  <c r="L354" i="4"/>
  <c r="U350" i="4"/>
  <c r="K354" i="4"/>
  <c r="T354" i="4"/>
  <c r="N354" i="4"/>
  <c r="S193" i="1"/>
  <c r="P201" i="1"/>
  <c r="Q193" i="1"/>
  <c r="R193" i="1"/>
  <c r="T124" i="4"/>
  <c r="P130" i="4"/>
  <c r="Q132" i="4"/>
  <c r="R124" i="4"/>
  <c r="B356" i="4"/>
  <c r="G355" i="4"/>
  <c r="S349" i="4"/>
  <c r="M349" i="4"/>
  <c r="V345" i="4"/>
  <c r="L349" i="4"/>
  <c r="U345" i="4"/>
  <c r="K349" i="4"/>
  <c r="T349" i="4"/>
  <c r="N349" i="4"/>
  <c r="V364" i="4"/>
  <c r="L368" i="4"/>
  <c r="U364" i="4"/>
  <c r="K368" i="4"/>
  <c r="T368" i="4"/>
  <c r="N368" i="4"/>
  <c r="S368" i="4"/>
  <c r="M368" i="4"/>
  <c r="T371" i="4"/>
  <c r="M371" i="4"/>
  <c r="U367" i="4"/>
  <c r="P193" i="1"/>
  <c r="Q194" i="1"/>
  <c r="S124" i="4"/>
  <c r="F124" i="4"/>
  <c r="F120" i="4"/>
  <c r="R136" i="4"/>
  <c r="P199" i="1"/>
  <c r="R202" i="1"/>
  <c r="V366" i="4"/>
  <c r="L370" i="4"/>
  <c r="U366" i="4"/>
  <c r="K370" i="4"/>
  <c r="T370" i="4"/>
  <c r="N370" i="4"/>
  <c r="S370" i="4"/>
  <c r="M370" i="4"/>
  <c r="P136" i="4"/>
  <c r="U349" i="4"/>
  <c r="K353" i="4"/>
  <c r="S353" i="4"/>
  <c r="M353" i="4"/>
  <c r="V349" i="4"/>
  <c r="L353" i="4"/>
  <c r="T353" i="4"/>
  <c r="N353" i="4"/>
  <c r="G374" i="4"/>
  <c r="T193" i="1"/>
  <c r="F130" i="4"/>
  <c r="T136" i="4"/>
  <c r="Q198" i="1"/>
  <c r="Q136" i="4"/>
  <c r="V368" i="4"/>
  <c r="L372" i="4"/>
  <c r="U368" i="4"/>
  <c r="K372" i="4"/>
  <c r="T372" i="4"/>
  <c r="N372" i="4"/>
  <c r="S372" i="4"/>
  <c r="M372" i="4"/>
  <c r="U346" i="4"/>
  <c r="T350" i="4"/>
  <c r="N350" i="4"/>
  <c r="S350" i="4"/>
  <c r="K350" i="4"/>
  <c r="M350" i="4"/>
  <c r="L350" i="4"/>
  <c r="V346" i="4"/>
  <c r="U347" i="4"/>
  <c r="K351" i="4"/>
  <c r="S351" i="4"/>
  <c r="M351" i="4"/>
  <c r="V347" i="4"/>
  <c r="L351" i="4"/>
  <c r="T351" i="4"/>
  <c r="N351" i="4"/>
  <c r="T373" i="4"/>
  <c r="N373" i="4"/>
  <c r="S373" i="4"/>
  <c r="M373" i="4"/>
  <c r="V369" i="4"/>
  <c r="L373" i="4"/>
  <c r="U369" i="4"/>
  <c r="K373" i="4"/>
  <c r="R198" i="1"/>
  <c r="S201" i="1"/>
  <c r="Q204" i="1"/>
  <c r="F194" i="1"/>
  <c r="D28" i="5" s="1"/>
  <c r="K28" i="5" s="1"/>
  <c r="F129" i="4"/>
  <c r="R126" i="4"/>
  <c r="F126" i="4"/>
  <c r="S129" i="4"/>
  <c r="P129" i="4"/>
  <c r="S120" i="4"/>
  <c r="S126" i="4"/>
  <c r="R133" i="4"/>
  <c r="R135" i="4"/>
  <c r="Q120" i="4"/>
  <c r="T194" i="1"/>
  <c r="S194" i="1"/>
  <c r="P202" i="1"/>
  <c r="S198" i="1"/>
  <c r="Q202" i="1"/>
  <c r="F201" i="1"/>
  <c r="D35" i="5" s="1"/>
  <c r="S202" i="1"/>
  <c r="F202" i="1"/>
  <c r="D36" i="5" s="1"/>
  <c r="F198" i="1"/>
  <c r="D32" i="5" s="1"/>
  <c r="T198" i="1"/>
  <c r="P198" i="1"/>
  <c r="T199" i="1"/>
  <c r="S199" i="1"/>
  <c r="Q203" i="1"/>
  <c r="S191" i="1"/>
  <c r="R203" i="1"/>
  <c r="D26" i="14"/>
  <c r="O26" i="14" s="1"/>
  <c r="T130" i="4"/>
  <c r="P135" i="4"/>
  <c r="F135" i="4"/>
  <c r="M60" i="12" s="1"/>
  <c r="S135" i="4"/>
  <c r="S130" i="4"/>
  <c r="R130" i="4"/>
  <c r="P191" i="1"/>
  <c r="T201" i="1"/>
  <c r="P190" i="1"/>
  <c r="T203" i="1"/>
  <c r="R191" i="1"/>
  <c r="Q201" i="1"/>
  <c r="Q191" i="1"/>
  <c r="Q190" i="1"/>
  <c r="T190" i="1"/>
  <c r="T191" i="1"/>
  <c r="F199" i="1"/>
  <c r="D33" i="5" s="1"/>
  <c r="S204" i="1"/>
  <c r="S203" i="1"/>
  <c r="F203" i="1"/>
  <c r="D37" i="5" s="1"/>
  <c r="F204" i="1"/>
  <c r="D38" i="5" s="1"/>
  <c r="T204" i="1"/>
  <c r="P204" i="1"/>
  <c r="P192" i="1"/>
  <c r="Q199" i="1"/>
  <c r="R190" i="1"/>
  <c r="R199" i="1"/>
  <c r="F192" i="1"/>
  <c r="D26" i="5" s="1"/>
  <c r="P132" i="4"/>
  <c r="F132" i="4"/>
  <c r="N55" i="6" s="1"/>
  <c r="R132" i="4"/>
  <c r="S192" i="1"/>
  <c r="R192" i="1"/>
  <c r="T192" i="1"/>
  <c r="S200" i="1"/>
  <c r="T200" i="1"/>
  <c r="P127" i="1"/>
  <c r="Q133" i="4"/>
  <c r="P133" i="4"/>
  <c r="F133" i="4"/>
  <c r="D58" i="12" s="1"/>
  <c r="F58" i="12" s="1"/>
  <c r="S133" i="4"/>
  <c r="N139" i="6"/>
  <c r="D24" i="14"/>
  <c r="H24" i="14" s="1"/>
  <c r="M26" i="14"/>
  <c r="C140" i="6"/>
  <c r="Q140" i="6" s="1"/>
  <c r="N137" i="6"/>
  <c r="M25" i="14"/>
  <c r="M23" i="14"/>
  <c r="N140" i="6"/>
  <c r="T127" i="1"/>
  <c r="C141" i="6"/>
  <c r="O141" i="6" s="1"/>
  <c r="C136" i="6"/>
  <c r="H136" i="6" s="1"/>
  <c r="D23" i="14"/>
  <c r="F23" i="14" s="1"/>
  <c r="N136" i="6"/>
  <c r="D22" i="14"/>
  <c r="P22" i="14" s="1"/>
  <c r="D21" i="14"/>
  <c r="F21" i="14" s="1"/>
  <c r="N138" i="6"/>
  <c r="T935" i="1"/>
  <c r="Q935" i="1"/>
  <c r="S935" i="1"/>
  <c r="R935" i="1"/>
  <c r="P935" i="1"/>
  <c r="H915" i="1"/>
  <c r="I914" i="1"/>
  <c r="D936" i="1" s="1"/>
  <c r="E936" i="1" s="1"/>
  <c r="F873" i="1"/>
  <c r="F875" i="1" s="1"/>
  <c r="G875" i="1" s="1"/>
  <c r="B941" i="1" s="1"/>
  <c r="G872" i="1"/>
  <c r="B938" i="1" s="1"/>
  <c r="S127" i="1"/>
  <c r="R127" i="1"/>
  <c r="Q127" i="1"/>
  <c r="C138" i="6"/>
  <c r="S138" i="6" s="1"/>
  <c r="C137" i="6"/>
  <c r="S137" i="6" s="1"/>
  <c r="C177" i="6"/>
  <c r="M53" i="14"/>
  <c r="D53" i="14"/>
  <c r="N177" i="6"/>
  <c r="M52" i="14"/>
  <c r="N176" i="6"/>
  <c r="D52" i="14"/>
  <c r="C176" i="6"/>
  <c r="C179" i="6"/>
  <c r="N179" i="6"/>
  <c r="M55" i="14"/>
  <c r="D55" i="14"/>
  <c r="N174" i="6"/>
  <c r="D50" i="14"/>
  <c r="M50" i="14"/>
  <c r="C174" i="6"/>
  <c r="D56" i="14"/>
  <c r="N180" i="6"/>
  <c r="M56" i="14"/>
  <c r="C180" i="6"/>
  <c r="M51" i="14"/>
  <c r="D51" i="14"/>
  <c r="C175" i="6"/>
  <c r="N175" i="6"/>
  <c r="N178" i="6"/>
  <c r="M54" i="14"/>
  <c r="D54" i="14"/>
  <c r="C178" i="6"/>
  <c r="M57" i="14"/>
  <c r="D57" i="14"/>
  <c r="C181" i="6"/>
  <c r="N181" i="6"/>
  <c r="I775" i="1"/>
  <c r="V363" i="4" l="1"/>
  <c r="S347" i="4"/>
  <c r="H105" i="8"/>
  <c r="G105" i="8"/>
  <c r="K105" i="8"/>
  <c r="I105" i="8"/>
  <c r="F107" i="8"/>
  <c r="H107" i="8"/>
  <c r="K107" i="8"/>
  <c r="I107" i="8"/>
  <c r="J107" i="8"/>
  <c r="G107" i="8"/>
  <c r="G102" i="8"/>
  <c r="F102" i="8"/>
  <c r="H102" i="8"/>
  <c r="I102" i="8"/>
  <c r="J102" i="8"/>
  <c r="K102" i="8"/>
  <c r="J108" i="8"/>
  <c r="F108" i="8"/>
  <c r="G108" i="8"/>
  <c r="K108" i="8"/>
  <c r="H108" i="8"/>
  <c r="I108" i="8"/>
  <c r="H109" i="8"/>
  <c r="G109" i="8"/>
  <c r="K109" i="8"/>
  <c r="J109" i="8"/>
  <c r="I109" i="8"/>
  <c r="F109" i="8"/>
  <c r="S208" i="3"/>
  <c r="T208" i="3"/>
  <c r="U208" i="3"/>
  <c r="Q208" i="3"/>
  <c r="R208" i="3"/>
  <c r="E208" i="3"/>
  <c r="D106" i="8" s="1"/>
  <c r="T210" i="3"/>
  <c r="S210" i="3"/>
  <c r="R210" i="3"/>
  <c r="Q210" i="3"/>
  <c r="U210" i="3"/>
  <c r="J23" i="8"/>
  <c r="I23" i="8"/>
  <c r="H23" i="8"/>
  <c r="G23" i="8"/>
  <c r="K23" i="8"/>
  <c r="F23" i="8"/>
  <c r="K24" i="8"/>
  <c r="J24" i="8"/>
  <c r="F24" i="8"/>
  <c r="H24" i="8"/>
  <c r="I24" i="8"/>
  <c r="G24" i="8"/>
  <c r="G27" i="8"/>
  <c r="H27" i="8"/>
  <c r="I27" i="8"/>
  <c r="K27" i="8"/>
  <c r="J27" i="8"/>
  <c r="F27" i="8"/>
  <c r="S371" i="4"/>
  <c r="U343" i="4"/>
  <c r="K371" i="4"/>
  <c r="N371" i="4"/>
  <c r="R138" i="4"/>
  <c r="P138" i="4"/>
  <c r="L371" i="4"/>
  <c r="M367" i="4"/>
  <c r="S367" i="4"/>
  <c r="T347" i="4"/>
  <c r="K367" i="4"/>
  <c r="N367" i="4"/>
  <c r="L347" i="4"/>
  <c r="N347" i="4"/>
  <c r="U363" i="4"/>
  <c r="T367" i="4"/>
  <c r="V343" i="4"/>
  <c r="K347" i="4"/>
  <c r="Q347" i="4" s="1"/>
  <c r="N348" i="4"/>
  <c r="F138" i="4"/>
  <c r="C92" i="6" s="1"/>
  <c r="H92" i="6" s="1"/>
  <c r="S138" i="4"/>
  <c r="Q138" i="4"/>
  <c r="T138" i="4"/>
  <c r="C125" i="5"/>
  <c r="F125" i="5" s="1"/>
  <c r="T348" i="4"/>
  <c r="M225" i="6"/>
  <c r="M348" i="4"/>
  <c r="K348" i="4"/>
  <c r="S348" i="4"/>
  <c r="U344" i="4"/>
  <c r="O770" i="1"/>
  <c r="C98" i="12"/>
  <c r="L348" i="4"/>
  <c r="B225" i="6"/>
  <c r="C120" i="5"/>
  <c r="E120" i="5" s="1"/>
  <c r="I120" i="5" s="1"/>
  <c r="L770" i="1"/>
  <c r="K770" i="1"/>
  <c r="E770" i="1"/>
  <c r="N770" i="1"/>
  <c r="V348" i="4"/>
  <c r="S366" i="4"/>
  <c r="R128" i="4"/>
  <c r="S352" i="4"/>
  <c r="V362" i="4"/>
  <c r="P128" i="4"/>
  <c r="T128" i="4"/>
  <c r="N352" i="4"/>
  <c r="N366" i="4"/>
  <c r="S128" i="4"/>
  <c r="T366" i="4"/>
  <c r="K352" i="4"/>
  <c r="P352" i="4" s="1"/>
  <c r="K366" i="4"/>
  <c r="Q366" i="4" s="1"/>
  <c r="D120" i="5"/>
  <c r="H120" i="5" s="1"/>
  <c r="T352" i="4"/>
  <c r="U348" i="4"/>
  <c r="U362" i="4"/>
  <c r="Q128" i="4"/>
  <c r="F128" i="4"/>
  <c r="N51" i="6" s="1"/>
  <c r="L352" i="4"/>
  <c r="M366" i="4"/>
  <c r="L94" i="12"/>
  <c r="C121" i="5"/>
  <c r="M221" i="6"/>
  <c r="B221" i="6"/>
  <c r="O221" i="6" s="1"/>
  <c r="S221" i="6" s="1"/>
  <c r="S134" i="4"/>
  <c r="F131" i="4"/>
  <c r="C85" i="6" s="1"/>
  <c r="F85" i="6" s="1"/>
  <c r="T137" i="4"/>
  <c r="R140" i="4"/>
  <c r="Q125" i="4"/>
  <c r="P137" i="4"/>
  <c r="T125" i="4"/>
  <c r="S137" i="4"/>
  <c r="R125" i="4"/>
  <c r="F125" i="4"/>
  <c r="C48" i="6" s="1"/>
  <c r="T131" i="4"/>
  <c r="K22" i="7"/>
  <c r="H22" i="7"/>
  <c r="F22" i="7"/>
  <c r="G22" i="7"/>
  <c r="I22" i="7"/>
  <c r="J22" i="7"/>
  <c r="K26" i="7"/>
  <c r="G26" i="7"/>
  <c r="F26" i="7"/>
  <c r="H26" i="7"/>
  <c r="I26" i="7"/>
  <c r="J26" i="7"/>
  <c r="K23" i="7"/>
  <c r="G23" i="7"/>
  <c r="H23" i="7"/>
  <c r="F23" i="7"/>
  <c r="I23" i="7"/>
  <c r="J23" i="7"/>
  <c r="K24" i="7"/>
  <c r="F24" i="7"/>
  <c r="G24" i="7"/>
  <c r="H24" i="7"/>
  <c r="I24" i="7"/>
  <c r="J24" i="7"/>
  <c r="K21" i="7"/>
  <c r="F21" i="7"/>
  <c r="H21" i="7"/>
  <c r="G21" i="7"/>
  <c r="I21" i="7"/>
  <c r="J21" i="7"/>
  <c r="S131" i="4"/>
  <c r="P131" i="4"/>
  <c r="Q131" i="4"/>
  <c r="R131" i="4"/>
  <c r="K25" i="7"/>
  <c r="H25" i="7"/>
  <c r="F25" i="7"/>
  <c r="G25" i="7"/>
  <c r="I25" i="7"/>
  <c r="J25" i="7"/>
  <c r="R771" i="1"/>
  <c r="V771" i="1" s="1"/>
  <c r="D86" i="5"/>
  <c r="J86" i="5" s="1"/>
  <c r="S140" i="4"/>
  <c r="Q137" i="4"/>
  <c r="P125" i="4"/>
  <c r="T147" i="4"/>
  <c r="Q147" i="4"/>
  <c r="F137" i="4"/>
  <c r="N60" i="6" s="1"/>
  <c r="P147" i="4"/>
  <c r="R137" i="4"/>
  <c r="S125" i="4"/>
  <c r="Q134" i="4"/>
  <c r="F134" i="4"/>
  <c r="C57" i="6" s="1"/>
  <c r="Q57" i="6" s="1"/>
  <c r="P134" i="4"/>
  <c r="R134" i="4"/>
  <c r="T134" i="4"/>
  <c r="I70" i="5"/>
  <c r="H70" i="5"/>
  <c r="K70" i="5"/>
  <c r="F70" i="5"/>
  <c r="Q140" i="4"/>
  <c r="R146" i="4"/>
  <c r="T140" i="4"/>
  <c r="F146" i="4"/>
  <c r="C96" i="6" s="1"/>
  <c r="H96" i="6" s="1"/>
  <c r="S146" i="4"/>
  <c r="M339" i="4"/>
  <c r="L339" i="4"/>
  <c r="E339" i="4"/>
  <c r="K339" i="4"/>
  <c r="T146" i="4"/>
  <c r="R147" i="4"/>
  <c r="S147" i="4"/>
  <c r="O339" i="4"/>
  <c r="P146" i="4"/>
  <c r="P140" i="4"/>
  <c r="F140" i="4"/>
  <c r="C94" i="6" s="1"/>
  <c r="O94" i="6" s="1"/>
  <c r="Q146" i="4"/>
  <c r="F147" i="4"/>
  <c r="C66" i="6" s="1"/>
  <c r="R66" i="6" s="1"/>
  <c r="G70" i="5"/>
  <c r="J70" i="5"/>
  <c r="G73" i="5"/>
  <c r="H73" i="5"/>
  <c r="I73" i="5"/>
  <c r="K73" i="5"/>
  <c r="J73" i="5"/>
  <c r="F73" i="5"/>
  <c r="G64" i="5"/>
  <c r="H64" i="5"/>
  <c r="I64" i="5"/>
  <c r="J64" i="5"/>
  <c r="K64" i="5"/>
  <c r="F64" i="5"/>
  <c r="G85" i="5"/>
  <c r="H85" i="5"/>
  <c r="I85" i="5"/>
  <c r="K85" i="5"/>
  <c r="J85" i="5"/>
  <c r="F85" i="5"/>
  <c r="G77" i="5"/>
  <c r="H77" i="5"/>
  <c r="I77" i="5"/>
  <c r="K77" i="5"/>
  <c r="J77" i="5"/>
  <c r="F77" i="5"/>
  <c r="H60" i="5"/>
  <c r="G60" i="5"/>
  <c r="F60" i="5"/>
  <c r="I60" i="5"/>
  <c r="K60" i="5"/>
  <c r="H82" i="5"/>
  <c r="I82" i="5"/>
  <c r="J82" i="5"/>
  <c r="K82" i="5"/>
  <c r="F82" i="5"/>
  <c r="G82" i="5"/>
  <c r="M380" i="4"/>
  <c r="N380" i="4"/>
  <c r="O380" i="4"/>
  <c r="E380" i="4"/>
  <c r="K380" i="4"/>
  <c r="L380" i="4"/>
  <c r="M379" i="4"/>
  <c r="L379" i="4"/>
  <c r="N379" i="4"/>
  <c r="E379" i="4"/>
  <c r="O379" i="4"/>
  <c r="K379" i="4"/>
  <c r="F76" i="5"/>
  <c r="G76" i="5"/>
  <c r="H76" i="5"/>
  <c r="I76" i="5"/>
  <c r="J76" i="5"/>
  <c r="K76" i="5"/>
  <c r="F78" i="5"/>
  <c r="G78" i="5"/>
  <c r="H78" i="5"/>
  <c r="I78" i="5"/>
  <c r="J78" i="5"/>
  <c r="K78" i="5"/>
  <c r="F72" i="5"/>
  <c r="G72" i="5"/>
  <c r="H72" i="5"/>
  <c r="I72" i="5"/>
  <c r="J72" i="5"/>
  <c r="K72" i="5"/>
  <c r="F63" i="5"/>
  <c r="G63" i="5"/>
  <c r="H63" i="5"/>
  <c r="I63" i="5"/>
  <c r="K63" i="5"/>
  <c r="J63" i="5"/>
  <c r="F80" i="5"/>
  <c r="G80" i="5"/>
  <c r="H80" i="5"/>
  <c r="I80" i="5"/>
  <c r="J80" i="5"/>
  <c r="K80" i="5"/>
  <c r="F69" i="5"/>
  <c r="G69" i="5"/>
  <c r="H69" i="5"/>
  <c r="I69" i="5"/>
  <c r="K69" i="5"/>
  <c r="J69" i="5"/>
  <c r="F68" i="5"/>
  <c r="G68" i="5"/>
  <c r="H68" i="5"/>
  <c r="I68" i="5"/>
  <c r="J68" i="5"/>
  <c r="K68" i="5"/>
  <c r="F61" i="5"/>
  <c r="G61" i="5"/>
  <c r="H61" i="5"/>
  <c r="I61" i="5"/>
  <c r="K61" i="5"/>
  <c r="J61" i="5"/>
  <c r="F81" i="5"/>
  <c r="G81" i="5"/>
  <c r="H81" i="5"/>
  <c r="I81" i="5"/>
  <c r="K81" i="5"/>
  <c r="J81" i="5"/>
  <c r="F84" i="5"/>
  <c r="G84" i="5"/>
  <c r="H84" i="5"/>
  <c r="I84" i="5"/>
  <c r="J84" i="5"/>
  <c r="K84" i="5"/>
  <c r="F62" i="5"/>
  <c r="G62" i="5"/>
  <c r="H62" i="5"/>
  <c r="I62" i="5"/>
  <c r="J62" i="5"/>
  <c r="K62" i="5"/>
  <c r="F71" i="5"/>
  <c r="G71" i="5"/>
  <c r="H71" i="5"/>
  <c r="I71" i="5"/>
  <c r="K71" i="5"/>
  <c r="J71" i="5"/>
  <c r="F75" i="5"/>
  <c r="G75" i="5"/>
  <c r="H75" i="5"/>
  <c r="I75" i="5"/>
  <c r="K75" i="5"/>
  <c r="J75" i="5"/>
  <c r="F74" i="5"/>
  <c r="G74" i="5"/>
  <c r="H74" i="5"/>
  <c r="I74" i="5"/>
  <c r="J74" i="5"/>
  <c r="K74" i="5"/>
  <c r="F83" i="5"/>
  <c r="G83" i="5"/>
  <c r="H83" i="5"/>
  <c r="I83" i="5"/>
  <c r="K83" i="5"/>
  <c r="J83" i="5"/>
  <c r="F67" i="5"/>
  <c r="G67" i="5"/>
  <c r="H67" i="5"/>
  <c r="I67" i="5"/>
  <c r="K67" i="5"/>
  <c r="J67" i="5"/>
  <c r="F65" i="5"/>
  <c r="G65" i="5"/>
  <c r="H65" i="5"/>
  <c r="I65" i="5"/>
  <c r="K65" i="5"/>
  <c r="J65" i="5"/>
  <c r="F59" i="5"/>
  <c r="G59" i="5"/>
  <c r="H59" i="5"/>
  <c r="I59" i="5"/>
  <c r="K59" i="5"/>
  <c r="J59" i="5"/>
  <c r="F66" i="5"/>
  <c r="G66" i="5"/>
  <c r="H66" i="5"/>
  <c r="I66" i="5"/>
  <c r="J66" i="5"/>
  <c r="K66" i="5"/>
  <c r="F79" i="5"/>
  <c r="G79" i="5"/>
  <c r="H79" i="5"/>
  <c r="I79" i="5"/>
  <c r="K79" i="5"/>
  <c r="J79" i="5"/>
  <c r="C94" i="12"/>
  <c r="O94" i="12" s="1"/>
  <c r="T770" i="1"/>
  <c r="W770" i="1" s="1"/>
  <c r="B793" i="1"/>
  <c r="L775" i="1"/>
  <c r="B812" i="1"/>
  <c r="M775" i="1"/>
  <c r="O775" i="1"/>
  <c r="K775" i="1"/>
  <c r="E775" i="1"/>
  <c r="N775" i="1"/>
  <c r="S771" i="1"/>
  <c r="I35" i="5"/>
  <c r="F35" i="5"/>
  <c r="H29" i="5"/>
  <c r="J29" i="5"/>
  <c r="G29" i="5"/>
  <c r="I29" i="5"/>
  <c r="F29" i="5"/>
  <c r="K29" i="5"/>
  <c r="K27" i="5"/>
  <c r="J27" i="5"/>
  <c r="I27" i="5"/>
  <c r="G27" i="5"/>
  <c r="H27" i="5"/>
  <c r="F27" i="5"/>
  <c r="J25" i="5"/>
  <c r="F25" i="5"/>
  <c r="I25" i="5"/>
  <c r="H25" i="5"/>
  <c r="G25" i="5"/>
  <c r="K25" i="5"/>
  <c r="K34" i="5"/>
  <c r="H34" i="5"/>
  <c r="F34" i="5"/>
  <c r="J34" i="5"/>
  <c r="G34" i="5"/>
  <c r="I34" i="5"/>
  <c r="K33" i="5"/>
  <c r="I33" i="5"/>
  <c r="F33" i="5"/>
  <c r="J33" i="5"/>
  <c r="H33" i="5"/>
  <c r="G33" i="5"/>
  <c r="F38" i="5"/>
  <c r="H38" i="5"/>
  <c r="G38" i="5"/>
  <c r="K38" i="5"/>
  <c r="J38" i="5"/>
  <c r="I38" i="5"/>
  <c r="K24" i="5"/>
  <c r="H24" i="5"/>
  <c r="J24" i="5"/>
  <c r="I24" i="5"/>
  <c r="G24" i="5"/>
  <c r="G36" i="5"/>
  <c r="J36" i="5"/>
  <c r="K36" i="5"/>
  <c r="F36" i="5"/>
  <c r="I36" i="5"/>
  <c r="H36" i="5"/>
  <c r="I26" i="5"/>
  <c r="J26" i="5"/>
  <c r="G26" i="5"/>
  <c r="H26" i="5"/>
  <c r="K26" i="5"/>
  <c r="F26" i="5"/>
  <c r="G37" i="5"/>
  <c r="J37" i="5"/>
  <c r="K37" i="5"/>
  <c r="H37" i="5"/>
  <c r="F37" i="5"/>
  <c r="I37" i="5"/>
  <c r="J32" i="5"/>
  <c r="F32" i="5"/>
  <c r="G32" i="5"/>
  <c r="H32" i="5"/>
  <c r="K32" i="5"/>
  <c r="I32" i="5"/>
  <c r="O769" i="1"/>
  <c r="K769" i="1"/>
  <c r="M769" i="1"/>
  <c r="N769" i="1"/>
  <c r="L769" i="1"/>
  <c r="E769" i="1"/>
  <c r="I28" i="5"/>
  <c r="J30" i="5"/>
  <c r="O777" i="1"/>
  <c r="L777" i="1"/>
  <c r="K777" i="1"/>
  <c r="M777" i="1"/>
  <c r="N777" i="1"/>
  <c r="E777" i="1"/>
  <c r="H768" i="1"/>
  <c r="S768" i="1"/>
  <c r="R768" i="1"/>
  <c r="V768" i="1" s="1"/>
  <c r="K767" i="1"/>
  <c r="N767" i="1"/>
  <c r="M767" i="1"/>
  <c r="O767" i="1"/>
  <c r="E767" i="1"/>
  <c r="B789" i="1"/>
  <c r="G789" i="1" s="1"/>
  <c r="L767" i="1"/>
  <c r="B808" i="1"/>
  <c r="G808" i="1" s="1"/>
  <c r="E772" i="1"/>
  <c r="L772" i="1"/>
  <c r="N772" i="1"/>
  <c r="M772" i="1"/>
  <c r="K772" i="1"/>
  <c r="O772" i="1"/>
  <c r="H35" i="5"/>
  <c r="F28" i="5"/>
  <c r="K30" i="5"/>
  <c r="S777" i="1"/>
  <c r="H777" i="1"/>
  <c r="R777" i="1"/>
  <c r="V777" i="1" s="1"/>
  <c r="B790" i="1"/>
  <c r="G790" i="1" s="1"/>
  <c r="L768" i="1"/>
  <c r="E768" i="1"/>
  <c r="M768" i="1"/>
  <c r="B809" i="1"/>
  <c r="G809" i="1" s="1"/>
  <c r="O768" i="1"/>
  <c r="K768" i="1"/>
  <c r="N768" i="1"/>
  <c r="H767" i="1"/>
  <c r="S767" i="1"/>
  <c r="R767" i="1"/>
  <c r="V767" i="1" s="1"/>
  <c r="R769" i="1"/>
  <c r="V769" i="1" s="1"/>
  <c r="H769" i="1"/>
  <c r="S769" i="1"/>
  <c r="K35" i="5"/>
  <c r="H28" i="5"/>
  <c r="H30" i="5"/>
  <c r="H765" i="1"/>
  <c r="R765" i="1"/>
  <c r="V765" i="1" s="1"/>
  <c r="S765" i="1"/>
  <c r="H773" i="1"/>
  <c r="R773" i="1"/>
  <c r="V773" i="1" s="1"/>
  <c r="S773" i="1"/>
  <c r="E776" i="1"/>
  <c r="N776" i="1"/>
  <c r="M776" i="1"/>
  <c r="O776" i="1"/>
  <c r="K776" i="1"/>
  <c r="L776" i="1"/>
  <c r="G35" i="5"/>
  <c r="J28" i="5"/>
  <c r="F30" i="5"/>
  <c r="R774" i="1"/>
  <c r="V774" i="1" s="1"/>
  <c r="S774" i="1"/>
  <c r="H774" i="1"/>
  <c r="N765" i="1"/>
  <c r="L765" i="1"/>
  <c r="E765" i="1"/>
  <c r="B806" i="1"/>
  <c r="G806" i="1" s="1"/>
  <c r="O765" i="1"/>
  <c r="B787" i="1"/>
  <c r="G787" i="1" s="1"/>
  <c r="K765" i="1"/>
  <c r="M765" i="1"/>
  <c r="O773" i="1"/>
  <c r="K773" i="1"/>
  <c r="M773" i="1"/>
  <c r="B791" i="1"/>
  <c r="G791" i="1" s="1"/>
  <c r="E773" i="1"/>
  <c r="N773" i="1"/>
  <c r="B810" i="1"/>
  <c r="G810" i="1" s="1"/>
  <c r="L773" i="1"/>
  <c r="S776" i="1"/>
  <c r="R776" i="1"/>
  <c r="V776" i="1" s="1"/>
  <c r="H776" i="1"/>
  <c r="J35" i="5"/>
  <c r="G28" i="5"/>
  <c r="I30" i="5"/>
  <c r="E774" i="1"/>
  <c r="L774" i="1"/>
  <c r="N774" i="1"/>
  <c r="B792" i="1"/>
  <c r="G792" i="1" s="1"/>
  <c r="O774" i="1"/>
  <c r="M774" i="1"/>
  <c r="B811" i="1"/>
  <c r="G811" i="1" s="1"/>
  <c r="K774" i="1"/>
  <c r="E766" i="1"/>
  <c r="O766" i="1"/>
  <c r="N766" i="1"/>
  <c r="L766" i="1"/>
  <c r="B788" i="1"/>
  <c r="G788" i="1" s="1"/>
  <c r="M766" i="1"/>
  <c r="B807" i="1"/>
  <c r="G807" i="1" s="1"/>
  <c r="K766" i="1"/>
  <c r="R764" i="1"/>
  <c r="V764" i="1" s="1"/>
  <c r="S764" i="1"/>
  <c r="H764" i="1"/>
  <c r="B785" i="1"/>
  <c r="G785" i="1" s="1"/>
  <c r="M763" i="1"/>
  <c r="L763" i="1"/>
  <c r="B804" i="1"/>
  <c r="G804" i="1" s="1"/>
  <c r="O763" i="1"/>
  <c r="K763" i="1"/>
  <c r="N763" i="1"/>
  <c r="E763" i="1"/>
  <c r="S772" i="1"/>
  <c r="H772" i="1"/>
  <c r="R772" i="1"/>
  <c r="V772" i="1" s="1"/>
  <c r="S766" i="1"/>
  <c r="H766" i="1"/>
  <c r="R766" i="1"/>
  <c r="V766" i="1" s="1"/>
  <c r="L764" i="1"/>
  <c r="B786" i="1"/>
  <c r="G786" i="1" s="1"/>
  <c r="E764" i="1"/>
  <c r="O764" i="1"/>
  <c r="N764" i="1"/>
  <c r="M764" i="1"/>
  <c r="B805" i="1"/>
  <c r="G805" i="1" s="1"/>
  <c r="K764" i="1"/>
  <c r="H763" i="1"/>
  <c r="R763" i="1"/>
  <c r="V763" i="1" s="1"/>
  <c r="S763" i="1"/>
  <c r="F31" i="5"/>
  <c r="I31" i="5"/>
  <c r="H31" i="5"/>
  <c r="K31" i="5"/>
  <c r="J31" i="5"/>
  <c r="D26" i="12"/>
  <c r="R26" i="12" s="1"/>
  <c r="M28" i="12"/>
  <c r="C19" i="6"/>
  <c r="P19" i="6" s="1"/>
  <c r="N26" i="6"/>
  <c r="N30" i="6"/>
  <c r="M19" i="12"/>
  <c r="M21" i="12"/>
  <c r="N29" i="6"/>
  <c r="C24" i="6"/>
  <c r="H24" i="6" s="1"/>
  <c r="M22" i="12"/>
  <c r="D58" i="14"/>
  <c r="F58" i="14" s="1"/>
  <c r="N182" i="6"/>
  <c r="C182" i="6"/>
  <c r="R182" i="6" s="1"/>
  <c r="M58" i="14"/>
  <c r="N183" i="6"/>
  <c r="C183" i="6"/>
  <c r="D183" i="6" s="1"/>
  <c r="D59" i="14"/>
  <c r="E59" i="14" s="1"/>
  <c r="N25" i="14"/>
  <c r="F25" i="14"/>
  <c r="H25" i="14"/>
  <c r="O25" i="14"/>
  <c r="G25" i="14"/>
  <c r="I25" i="14"/>
  <c r="E25" i="14"/>
  <c r="Q25" i="14"/>
  <c r="R25" i="14"/>
  <c r="N52" i="6"/>
  <c r="N78" i="6"/>
  <c r="M47" i="12"/>
  <c r="C77" i="6"/>
  <c r="D77" i="6" s="1"/>
  <c r="C50" i="6"/>
  <c r="E50" i="6" s="1"/>
  <c r="C80" i="6"/>
  <c r="R80" i="6" s="1"/>
  <c r="C43" i="6"/>
  <c r="H43" i="6" s="1"/>
  <c r="M66" i="12"/>
  <c r="M52" i="12"/>
  <c r="D52" i="12"/>
  <c r="R52" i="12" s="1"/>
  <c r="N81" i="6"/>
  <c r="C81" i="6"/>
  <c r="R81" i="6" s="1"/>
  <c r="N50" i="6"/>
  <c r="C59" i="6"/>
  <c r="F59" i="6" s="1"/>
  <c r="C90" i="6"/>
  <c r="F90" i="6" s="1"/>
  <c r="N90" i="6"/>
  <c r="N59" i="6"/>
  <c r="D61" i="12"/>
  <c r="R61" i="12" s="1"/>
  <c r="D22" i="13"/>
  <c r="F22" i="13" s="1"/>
  <c r="N23" i="6"/>
  <c r="M24" i="12"/>
  <c r="D24" i="12"/>
  <c r="F24" i="12" s="1"/>
  <c r="C23" i="6"/>
  <c r="H23" i="6" s="1"/>
  <c r="D19" i="12"/>
  <c r="O19" i="12" s="1"/>
  <c r="N44" i="6"/>
  <c r="F139" i="6"/>
  <c r="E93" i="6"/>
  <c r="N75" i="6"/>
  <c r="D46" i="12"/>
  <c r="N46" i="12" s="1"/>
  <c r="D27" i="12"/>
  <c r="E27" i="12" s="1"/>
  <c r="M27" i="12"/>
  <c r="C75" i="6"/>
  <c r="R75" i="6" s="1"/>
  <c r="M46" i="12"/>
  <c r="C18" i="6"/>
  <c r="S18" i="6" s="1"/>
  <c r="N18" i="6"/>
  <c r="D20" i="12"/>
  <c r="Q20" i="12" s="1"/>
  <c r="D63" i="12"/>
  <c r="O63" i="12" s="1"/>
  <c r="R93" i="6"/>
  <c r="N19" i="6"/>
  <c r="Q93" i="6"/>
  <c r="D93" i="6"/>
  <c r="O93" i="6"/>
  <c r="H93" i="6"/>
  <c r="C21" i="6"/>
  <c r="H21" i="6" s="1"/>
  <c r="D64" i="12"/>
  <c r="I64" i="12" s="1"/>
  <c r="N93" i="6"/>
  <c r="M64" i="12"/>
  <c r="C26" i="6"/>
  <c r="D26" i="6" s="1"/>
  <c r="C62" i="6"/>
  <c r="R62" i="6" s="1"/>
  <c r="S93" i="6"/>
  <c r="P93" i="6"/>
  <c r="G93" i="6"/>
  <c r="N62" i="6"/>
  <c r="M20" i="12"/>
  <c r="N61" i="6"/>
  <c r="C76" i="6"/>
  <c r="F76" i="6" s="1"/>
  <c r="D66" i="12"/>
  <c r="I66" i="12" s="1"/>
  <c r="H26" i="14"/>
  <c r="D139" i="6"/>
  <c r="R139" i="6"/>
  <c r="N21" i="6"/>
  <c r="H139" i="6"/>
  <c r="G139" i="6"/>
  <c r="P26" i="14"/>
  <c r="N77" i="6"/>
  <c r="D48" i="12"/>
  <c r="N48" i="12" s="1"/>
  <c r="E139" i="6"/>
  <c r="S139" i="6"/>
  <c r="M29" i="12"/>
  <c r="N83" i="6"/>
  <c r="P139" i="6"/>
  <c r="O139" i="6"/>
  <c r="D22" i="12"/>
  <c r="O22" i="12" s="1"/>
  <c r="C53" i="6"/>
  <c r="P53" i="6" s="1"/>
  <c r="N22" i="13"/>
  <c r="C46" i="6"/>
  <c r="Q46" i="6" s="1"/>
  <c r="N46" i="6"/>
  <c r="C47" i="6"/>
  <c r="P47" i="6" s="1"/>
  <c r="N64" i="6"/>
  <c r="C45" i="6"/>
  <c r="P45" i="6" s="1"/>
  <c r="M48" i="12"/>
  <c r="N76" i="6"/>
  <c r="M54" i="12"/>
  <c r="C64" i="6"/>
  <c r="H64" i="6" s="1"/>
  <c r="C95" i="6"/>
  <c r="Q95" i="6" s="1"/>
  <c r="N47" i="6"/>
  <c r="N95" i="6"/>
  <c r="N45" i="6"/>
  <c r="D47" i="12"/>
  <c r="N47" i="12" s="1"/>
  <c r="M63" i="12"/>
  <c r="N92" i="6"/>
  <c r="C61" i="6"/>
  <c r="R61" i="6" s="1"/>
  <c r="C74" i="6"/>
  <c r="D74" i="6" s="1"/>
  <c r="M45" i="12"/>
  <c r="N89" i="6"/>
  <c r="D51" i="12"/>
  <c r="G51" i="12" s="1"/>
  <c r="D57" i="12"/>
  <c r="P57" i="12" s="1"/>
  <c r="D45" i="12"/>
  <c r="F45" i="12" s="1"/>
  <c r="N43" i="6"/>
  <c r="N74" i="6"/>
  <c r="E58" i="12"/>
  <c r="N58" i="12"/>
  <c r="D60" i="12"/>
  <c r="G60" i="12" s="1"/>
  <c r="M49" i="12"/>
  <c r="C78" i="6"/>
  <c r="D78" i="6" s="1"/>
  <c r="N84" i="6"/>
  <c r="C89" i="6"/>
  <c r="R89" i="6" s="1"/>
  <c r="D49" i="12"/>
  <c r="Q49" i="12" s="1"/>
  <c r="N53" i="6"/>
  <c r="D54" i="12"/>
  <c r="O54" i="12" s="1"/>
  <c r="M23" i="12"/>
  <c r="F26" i="14"/>
  <c r="G26" i="14"/>
  <c r="N26" i="14"/>
  <c r="I26" i="14"/>
  <c r="Q26" i="14"/>
  <c r="R26" i="14"/>
  <c r="E26" i="14"/>
  <c r="C116" i="6"/>
  <c r="D116" i="6" s="1"/>
  <c r="P350" i="4"/>
  <c r="Q350" i="4"/>
  <c r="V372" i="4"/>
  <c r="U372" i="4"/>
  <c r="Q349" i="4"/>
  <c r="P349" i="4"/>
  <c r="Q369" i="4"/>
  <c r="P369" i="4"/>
  <c r="D30" i="12"/>
  <c r="N30" i="12" s="1"/>
  <c r="D55" i="12"/>
  <c r="H55" i="12" s="1"/>
  <c r="C86" i="6"/>
  <c r="R86" i="6" s="1"/>
  <c r="Q373" i="4"/>
  <c r="P373" i="4"/>
  <c r="Q372" i="4"/>
  <c r="P372" i="4"/>
  <c r="P348" i="4"/>
  <c r="Q348" i="4"/>
  <c r="V370" i="4"/>
  <c r="L374" i="4"/>
  <c r="U370" i="4"/>
  <c r="K374" i="4"/>
  <c r="T374" i="4"/>
  <c r="N374" i="4"/>
  <c r="S374" i="4"/>
  <c r="M374" i="4"/>
  <c r="Q367" i="4"/>
  <c r="P367" i="4"/>
  <c r="Q370" i="4"/>
  <c r="P370" i="4"/>
  <c r="Q371" i="4"/>
  <c r="P371" i="4"/>
  <c r="Q368" i="4"/>
  <c r="P368" i="4"/>
  <c r="U351" i="4"/>
  <c r="K355" i="4"/>
  <c r="T355" i="4"/>
  <c r="N355" i="4"/>
  <c r="S355" i="4"/>
  <c r="M355" i="4"/>
  <c r="V351" i="4"/>
  <c r="L355" i="4"/>
  <c r="Q354" i="4"/>
  <c r="P354" i="4"/>
  <c r="M30" i="12"/>
  <c r="C83" i="6"/>
  <c r="F83" i="6" s="1"/>
  <c r="C52" i="6"/>
  <c r="F52" i="6" s="1"/>
  <c r="C84" i="6"/>
  <c r="D84" i="6" s="1"/>
  <c r="M55" i="12"/>
  <c r="P351" i="4"/>
  <c r="Q351" i="4"/>
  <c r="V371" i="4"/>
  <c r="U371" i="4"/>
  <c r="P353" i="4"/>
  <c r="Q353" i="4"/>
  <c r="B357" i="4"/>
  <c r="G357" i="4" s="1"/>
  <c r="G356" i="4"/>
  <c r="D23" i="12"/>
  <c r="F23" i="12" s="1"/>
  <c r="N22" i="6"/>
  <c r="N28" i="6"/>
  <c r="C22" i="6"/>
  <c r="R22" i="6" s="1"/>
  <c r="M57" i="12"/>
  <c r="C58" i="6"/>
  <c r="H58" i="6" s="1"/>
  <c r="N58" i="6"/>
  <c r="C49" i="6"/>
  <c r="P49" i="6" s="1"/>
  <c r="N49" i="6"/>
  <c r="M51" i="12"/>
  <c r="N80" i="6"/>
  <c r="C30" i="6"/>
  <c r="F30" i="6" s="1"/>
  <c r="C29" i="6"/>
  <c r="P29" i="6" s="1"/>
  <c r="D28" i="12"/>
  <c r="H28" i="12" s="1"/>
  <c r="D25" i="12"/>
  <c r="H25" i="12" s="1"/>
  <c r="M25" i="12"/>
  <c r="D31" i="12"/>
  <c r="P31" i="12" s="1"/>
  <c r="N27" i="6"/>
  <c r="C27" i="6"/>
  <c r="S27" i="6" s="1"/>
  <c r="D29" i="12"/>
  <c r="H29" i="12" s="1"/>
  <c r="C28" i="6"/>
  <c r="H28" i="6" s="1"/>
  <c r="N24" i="6"/>
  <c r="C20" i="6"/>
  <c r="D20" i="6" s="1"/>
  <c r="N20" i="6"/>
  <c r="N116" i="6"/>
  <c r="Q58" i="12"/>
  <c r="O58" i="12"/>
  <c r="M53" i="12"/>
  <c r="N82" i="6"/>
  <c r="C56" i="6"/>
  <c r="H56" i="6" s="1"/>
  <c r="C87" i="6"/>
  <c r="E87" i="6" s="1"/>
  <c r="D21" i="12"/>
  <c r="N21" i="12" s="1"/>
  <c r="C25" i="6"/>
  <c r="F25" i="6" s="1"/>
  <c r="M26" i="12"/>
  <c r="N25" i="6"/>
  <c r="M31" i="12"/>
  <c r="N86" i="6"/>
  <c r="C55" i="6"/>
  <c r="P58" i="12"/>
  <c r="M58" i="12"/>
  <c r="G23" i="14"/>
  <c r="F24" i="14"/>
  <c r="Q24" i="14"/>
  <c r="E24" i="14"/>
  <c r="P24" i="14"/>
  <c r="I58" i="12"/>
  <c r="G58" i="12"/>
  <c r="N56" i="6"/>
  <c r="R58" i="12"/>
  <c r="N87" i="6"/>
  <c r="H58" i="12"/>
  <c r="I24" i="14"/>
  <c r="O24" i="14"/>
  <c r="R24" i="14"/>
  <c r="S140" i="6"/>
  <c r="N24" i="14"/>
  <c r="D140" i="6"/>
  <c r="R136" i="6"/>
  <c r="R140" i="6"/>
  <c r="P140" i="6"/>
  <c r="F140" i="6"/>
  <c r="Q136" i="6"/>
  <c r="G140" i="6"/>
  <c r="E140" i="6"/>
  <c r="Q21" i="14"/>
  <c r="G24" i="14"/>
  <c r="H140" i="6"/>
  <c r="O140" i="6"/>
  <c r="F141" i="6"/>
  <c r="D137" i="6"/>
  <c r="D141" i="6"/>
  <c r="F138" i="6"/>
  <c r="H138" i="6"/>
  <c r="R92" i="6"/>
  <c r="P92" i="6"/>
  <c r="E92" i="6"/>
  <c r="S92" i="6"/>
  <c r="F92" i="6"/>
  <c r="Q92" i="6"/>
  <c r="G92" i="6"/>
  <c r="D92" i="6"/>
  <c r="O92" i="6"/>
  <c r="Q44" i="6"/>
  <c r="F44" i="6"/>
  <c r="O44" i="6"/>
  <c r="H44" i="6"/>
  <c r="E44" i="6"/>
  <c r="P44" i="6"/>
  <c r="S44" i="6"/>
  <c r="R44" i="6"/>
  <c r="G44" i="6"/>
  <c r="E141" i="6"/>
  <c r="R137" i="6"/>
  <c r="R141" i="6"/>
  <c r="S141" i="6"/>
  <c r="O21" i="14"/>
  <c r="P136" i="6"/>
  <c r="R21" i="14"/>
  <c r="G137" i="6"/>
  <c r="E136" i="6"/>
  <c r="Q141" i="6"/>
  <c r="E21" i="14"/>
  <c r="G136" i="6"/>
  <c r="N21" i="14"/>
  <c r="H137" i="6"/>
  <c r="O136" i="6"/>
  <c r="H141" i="6"/>
  <c r="G141" i="6"/>
  <c r="H21" i="14"/>
  <c r="Q137" i="6"/>
  <c r="S136" i="6"/>
  <c r="P141" i="6"/>
  <c r="F22" i="14"/>
  <c r="H23" i="14"/>
  <c r="R23" i="14"/>
  <c r="G21" i="14"/>
  <c r="P21" i="14"/>
  <c r="D136" i="6"/>
  <c r="I21" i="14"/>
  <c r="F136" i="6"/>
  <c r="R22" i="14"/>
  <c r="E138" i="6"/>
  <c r="D138" i="6"/>
  <c r="P138" i="6"/>
  <c r="G138" i="6"/>
  <c r="O138" i="6"/>
  <c r="Q138" i="6"/>
  <c r="R138" i="6"/>
  <c r="N18" i="13"/>
  <c r="D18" i="13"/>
  <c r="G18" i="13" s="1"/>
  <c r="C112" i="6"/>
  <c r="H112" i="6" s="1"/>
  <c r="I23" i="14"/>
  <c r="O23" i="14"/>
  <c r="Q22" i="14"/>
  <c r="E22" i="14"/>
  <c r="Q23" i="14"/>
  <c r="P23" i="14"/>
  <c r="G22" i="14"/>
  <c r="I22" i="14"/>
  <c r="H22" i="14"/>
  <c r="N23" i="14"/>
  <c r="E23" i="14"/>
  <c r="O22" i="14"/>
  <c r="N22" i="14"/>
  <c r="H916" i="1"/>
  <c r="I915" i="1"/>
  <c r="D937" i="1" s="1"/>
  <c r="E937" i="1" s="1"/>
  <c r="F874" i="1"/>
  <c r="G873" i="1"/>
  <c r="B939" i="1" s="1"/>
  <c r="S936" i="1"/>
  <c r="R936" i="1"/>
  <c r="Q936" i="1"/>
  <c r="P936" i="1"/>
  <c r="T936" i="1"/>
  <c r="D20" i="13"/>
  <c r="C114" i="6"/>
  <c r="N114" i="6"/>
  <c r="N20" i="13"/>
  <c r="C115" i="6"/>
  <c r="N21" i="13"/>
  <c r="N115" i="6"/>
  <c r="D21" i="13"/>
  <c r="D19" i="13"/>
  <c r="N19" i="13"/>
  <c r="N113" i="6"/>
  <c r="C113" i="6"/>
  <c r="F137" i="6"/>
  <c r="P137" i="6"/>
  <c r="O137" i="6"/>
  <c r="E137" i="6"/>
  <c r="I57" i="14"/>
  <c r="O57" i="14"/>
  <c r="E57" i="14"/>
  <c r="R57" i="14"/>
  <c r="F57" i="14"/>
  <c r="P57" i="14"/>
  <c r="G57" i="14"/>
  <c r="N57" i="14"/>
  <c r="Q57" i="14"/>
  <c r="H57" i="14"/>
  <c r="R180" i="6"/>
  <c r="F180" i="6"/>
  <c r="Q180" i="6"/>
  <c r="E180" i="6"/>
  <c r="P180" i="6"/>
  <c r="H180" i="6"/>
  <c r="D180" i="6"/>
  <c r="S180" i="6"/>
  <c r="O180" i="6"/>
  <c r="G180" i="6"/>
  <c r="R176" i="6"/>
  <c r="F176" i="6"/>
  <c r="Q176" i="6"/>
  <c r="E176" i="6"/>
  <c r="P176" i="6"/>
  <c r="H176" i="6"/>
  <c r="D176" i="6"/>
  <c r="S176" i="6"/>
  <c r="O176" i="6"/>
  <c r="G176" i="6"/>
  <c r="I53" i="14"/>
  <c r="O53" i="14"/>
  <c r="E53" i="14"/>
  <c r="Q53" i="14"/>
  <c r="H53" i="14"/>
  <c r="N53" i="14"/>
  <c r="R53" i="14"/>
  <c r="F53" i="14"/>
  <c r="P53" i="14"/>
  <c r="G53" i="14"/>
  <c r="P56" i="14"/>
  <c r="R56" i="14"/>
  <c r="I56" i="14"/>
  <c r="O56" i="14"/>
  <c r="G56" i="14"/>
  <c r="H56" i="14"/>
  <c r="F56" i="14"/>
  <c r="Q56" i="14"/>
  <c r="N56" i="14"/>
  <c r="E56" i="14"/>
  <c r="P181" i="6"/>
  <c r="H181" i="6"/>
  <c r="D181" i="6"/>
  <c r="S181" i="6"/>
  <c r="O181" i="6"/>
  <c r="G181" i="6"/>
  <c r="R181" i="6"/>
  <c r="F181" i="6"/>
  <c r="Q181" i="6"/>
  <c r="E181" i="6"/>
  <c r="R178" i="6"/>
  <c r="F178" i="6"/>
  <c r="Q178" i="6"/>
  <c r="E178" i="6"/>
  <c r="P178" i="6"/>
  <c r="H178" i="6"/>
  <c r="D178" i="6"/>
  <c r="S178" i="6"/>
  <c r="O178" i="6"/>
  <c r="G178" i="6"/>
  <c r="P175" i="6"/>
  <c r="H175" i="6"/>
  <c r="D175" i="6"/>
  <c r="S175" i="6"/>
  <c r="O175" i="6"/>
  <c r="G175" i="6"/>
  <c r="R175" i="6"/>
  <c r="F175" i="6"/>
  <c r="Q175" i="6"/>
  <c r="E175" i="6"/>
  <c r="R174" i="6"/>
  <c r="F174" i="6"/>
  <c r="Q174" i="6"/>
  <c r="E174" i="6"/>
  <c r="P174" i="6"/>
  <c r="H174" i="6"/>
  <c r="D174" i="6"/>
  <c r="S174" i="6"/>
  <c r="O174" i="6"/>
  <c r="G174" i="6"/>
  <c r="P50" i="14"/>
  <c r="N50" i="14"/>
  <c r="E50" i="14"/>
  <c r="Q50" i="14"/>
  <c r="R50" i="14"/>
  <c r="I50" i="14"/>
  <c r="F50" i="14"/>
  <c r="G50" i="14"/>
  <c r="O50" i="14"/>
  <c r="H50" i="14"/>
  <c r="P179" i="6"/>
  <c r="H179" i="6"/>
  <c r="D179" i="6"/>
  <c r="S179" i="6"/>
  <c r="O179" i="6"/>
  <c r="G179" i="6"/>
  <c r="R179" i="6"/>
  <c r="F179" i="6"/>
  <c r="Q179" i="6"/>
  <c r="E179" i="6"/>
  <c r="H52" i="14"/>
  <c r="F52" i="14"/>
  <c r="N52" i="14"/>
  <c r="E52" i="14"/>
  <c r="P52" i="14"/>
  <c r="G52" i="14"/>
  <c r="R52" i="14"/>
  <c r="I52" i="14"/>
  <c r="Q52" i="14"/>
  <c r="O52" i="14"/>
  <c r="P177" i="6"/>
  <c r="H177" i="6"/>
  <c r="D177" i="6"/>
  <c r="S177" i="6"/>
  <c r="O177" i="6"/>
  <c r="G177" i="6"/>
  <c r="R177" i="6"/>
  <c r="F177" i="6"/>
  <c r="Q177" i="6"/>
  <c r="E177" i="6"/>
  <c r="G54" i="14"/>
  <c r="Q54" i="14"/>
  <c r="H54" i="14"/>
  <c r="P54" i="14"/>
  <c r="N54" i="14"/>
  <c r="E54" i="14"/>
  <c r="O54" i="14"/>
  <c r="R54" i="14"/>
  <c r="I54" i="14"/>
  <c r="F54" i="14"/>
  <c r="O51" i="14"/>
  <c r="E51" i="14"/>
  <c r="I51" i="14"/>
  <c r="Q51" i="14"/>
  <c r="R51" i="14"/>
  <c r="F51" i="14"/>
  <c r="H51" i="14"/>
  <c r="P51" i="14"/>
  <c r="G51" i="14"/>
  <c r="N51" i="14"/>
  <c r="I55" i="14"/>
  <c r="O55" i="14"/>
  <c r="E55" i="14"/>
  <c r="P55" i="14"/>
  <c r="G55" i="14"/>
  <c r="N55" i="14"/>
  <c r="Q55" i="14"/>
  <c r="F55" i="14"/>
  <c r="R55" i="14"/>
  <c r="H55" i="14"/>
  <c r="F121" i="5"/>
  <c r="E121" i="5"/>
  <c r="I121" i="5" s="1"/>
  <c r="M98" i="12"/>
  <c r="D98" i="12"/>
  <c r="N225" i="6"/>
  <c r="C225" i="6"/>
  <c r="D125" i="5"/>
  <c r="U775" i="1"/>
  <c r="T775" i="1"/>
  <c r="W775" i="1" s="1"/>
  <c r="O225" i="6"/>
  <c r="S225" i="6" s="1"/>
  <c r="D225" i="6"/>
  <c r="H225" i="6" s="1"/>
  <c r="P225" i="6"/>
  <c r="E225" i="6"/>
  <c r="O98" i="12"/>
  <c r="F98" i="12"/>
  <c r="N98" i="12"/>
  <c r="R98" i="12" s="1"/>
  <c r="E98" i="12"/>
  <c r="I98" i="12" s="1"/>
  <c r="M94" i="12"/>
  <c r="D94" i="12"/>
  <c r="N221" i="6"/>
  <c r="C221" i="6"/>
  <c r="D121" i="5"/>
  <c r="U771" i="1"/>
  <c r="T771" i="1"/>
  <c r="W771" i="1" s="1"/>
  <c r="E221" i="6"/>
  <c r="G106" i="8" l="1"/>
  <c r="F106" i="8"/>
  <c r="I106" i="8"/>
  <c r="K106" i="8"/>
  <c r="J106" i="8"/>
  <c r="H106" i="8"/>
  <c r="P347" i="4"/>
  <c r="N66" i="6"/>
  <c r="C97" i="6"/>
  <c r="H97" i="6" s="1"/>
  <c r="S94" i="6"/>
  <c r="G94" i="6"/>
  <c r="Q94" i="6"/>
  <c r="O96" i="6"/>
  <c r="N63" i="6"/>
  <c r="H94" i="6"/>
  <c r="P85" i="6"/>
  <c r="E125" i="5"/>
  <c r="I125" i="5" s="1"/>
  <c r="N54" i="6"/>
  <c r="F120" i="5"/>
  <c r="D59" i="12"/>
  <c r="I59" i="12" s="1"/>
  <c r="P57" i="6"/>
  <c r="G120" i="5"/>
  <c r="J120" i="5" s="1"/>
  <c r="P221" i="6"/>
  <c r="C82" i="6"/>
  <c r="H82" i="6" s="1"/>
  <c r="D221" i="6"/>
  <c r="H221" i="6" s="1"/>
  <c r="D53" i="12"/>
  <c r="F53" i="12" s="1"/>
  <c r="C51" i="6"/>
  <c r="P51" i="6" s="1"/>
  <c r="P366" i="4"/>
  <c r="F86" i="5"/>
  <c r="D68" i="12"/>
  <c r="E68" i="12" s="1"/>
  <c r="M62" i="12"/>
  <c r="I86" i="5"/>
  <c r="E94" i="12"/>
  <c r="I94" i="12" s="1"/>
  <c r="N97" i="6"/>
  <c r="H86" i="5"/>
  <c r="Q352" i="4"/>
  <c r="N91" i="6"/>
  <c r="G86" i="5"/>
  <c r="M68" i="12"/>
  <c r="N94" i="12"/>
  <c r="R94" i="12" s="1"/>
  <c r="F94" i="12"/>
  <c r="C79" i="6"/>
  <c r="S79" i="6" s="1"/>
  <c r="S85" i="6"/>
  <c r="R85" i="6"/>
  <c r="E85" i="6"/>
  <c r="D56" i="12"/>
  <c r="R56" i="12" s="1"/>
  <c r="Q85" i="6"/>
  <c r="O85" i="6"/>
  <c r="S24" i="6"/>
  <c r="G85" i="6"/>
  <c r="C54" i="6"/>
  <c r="P54" i="6" s="1"/>
  <c r="D85" i="6"/>
  <c r="M56" i="12"/>
  <c r="N85" i="6"/>
  <c r="H85" i="6"/>
  <c r="R48" i="6"/>
  <c r="O48" i="6"/>
  <c r="G48" i="6"/>
  <c r="F57" i="6"/>
  <c r="G96" i="6"/>
  <c r="D57" i="6"/>
  <c r="C65" i="6"/>
  <c r="Q65" i="6" s="1"/>
  <c r="R57" i="6"/>
  <c r="G57" i="6"/>
  <c r="E96" i="6"/>
  <c r="S96" i="6"/>
  <c r="D96" i="6"/>
  <c r="S57" i="6"/>
  <c r="P96" i="6"/>
  <c r="M67" i="12"/>
  <c r="D67" i="12"/>
  <c r="E67" i="12" s="1"/>
  <c r="N88" i="6"/>
  <c r="C88" i="6"/>
  <c r="D88" i="6" s="1"/>
  <c r="N65" i="6"/>
  <c r="N96" i="6"/>
  <c r="N48" i="6"/>
  <c r="F96" i="6"/>
  <c r="H57" i="6"/>
  <c r="R96" i="6"/>
  <c r="M59" i="12"/>
  <c r="E57" i="6"/>
  <c r="O57" i="6"/>
  <c r="Q96" i="6"/>
  <c r="G79" i="6"/>
  <c r="N57" i="6"/>
  <c r="K86" i="5"/>
  <c r="P48" i="6"/>
  <c r="F48" i="6"/>
  <c r="D48" i="6"/>
  <c r="Q48" i="6"/>
  <c r="S48" i="6"/>
  <c r="H48" i="6"/>
  <c r="E48" i="6"/>
  <c r="M50" i="12"/>
  <c r="D50" i="12"/>
  <c r="N79" i="6"/>
  <c r="I58" i="14"/>
  <c r="F20" i="7"/>
  <c r="I20" i="7"/>
  <c r="G20" i="7"/>
  <c r="H20" i="7"/>
  <c r="J20" i="7"/>
  <c r="K20" i="7"/>
  <c r="Q58" i="14"/>
  <c r="D94" i="6"/>
  <c r="D65" i="12"/>
  <c r="G65" i="12" s="1"/>
  <c r="C63" i="6"/>
  <c r="P63" i="6" s="1"/>
  <c r="C60" i="6"/>
  <c r="D60" i="6" s="1"/>
  <c r="N94" i="6"/>
  <c r="E94" i="6"/>
  <c r="M65" i="12"/>
  <c r="C91" i="6"/>
  <c r="D91" i="6" s="1"/>
  <c r="D62" i="12"/>
  <c r="O62" i="12" s="1"/>
  <c r="F94" i="6"/>
  <c r="R94" i="6"/>
  <c r="P94" i="6"/>
  <c r="P77" i="6"/>
  <c r="N26" i="12"/>
  <c r="B814" i="1"/>
  <c r="G814" i="1" s="1"/>
  <c r="G812" i="1"/>
  <c r="B813" i="1"/>
  <c r="G813" i="1" s="1"/>
  <c r="Q26" i="12"/>
  <c r="P24" i="6"/>
  <c r="B794" i="1"/>
  <c r="G793" i="1"/>
  <c r="H26" i="12"/>
  <c r="I766" i="1"/>
  <c r="L91" i="12"/>
  <c r="C91" i="12"/>
  <c r="B218" i="6"/>
  <c r="C116" i="5"/>
  <c r="M218" i="6"/>
  <c r="T804" i="1"/>
  <c r="N804" i="1"/>
  <c r="L804" i="1"/>
  <c r="V804" i="1"/>
  <c r="U804" i="1"/>
  <c r="K804" i="1"/>
  <c r="S804" i="1"/>
  <c r="M804" i="1"/>
  <c r="U807" i="1"/>
  <c r="K807" i="1"/>
  <c r="V807" i="1"/>
  <c r="N807" i="1"/>
  <c r="T807" i="1"/>
  <c r="M807" i="1"/>
  <c r="L807" i="1"/>
  <c r="S807" i="1"/>
  <c r="K811" i="1"/>
  <c r="V811" i="1"/>
  <c r="U811" i="1"/>
  <c r="L811" i="1"/>
  <c r="T811" i="1"/>
  <c r="N811" i="1"/>
  <c r="S811" i="1"/>
  <c r="M811" i="1"/>
  <c r="U805" i="1"/>
  <c r="M805" i="1"/>
  <c r="K805" i="1"/>
  <c r="V805" i="1"/>
  <c r="T805" i="1"/>
  <c r="N805" i="1"/>
  <c r="L805" i="1"/>
  <c r="S805" i="1"/>
  <c r="L787" i="1"/>
  <c r="M787" i="1"/>
  <c r="N787" i="1"/>
  <c r="K787" i="1"/>
  <c r="M791" i="1"/>
  <c r="K791" i="1"/>
  <c r="N791" i="1"/>
  <c r="L791" i="1"/>
  <c r="T806" i="1"/>
  <c r="V806" i="1"/>
  <c r="N806" i="1"/>
  <c r="L806" i="1"/>
  <c r="U806" i="1"/>
  <c r="K806" i="1"/>
  <c r="S806" i="1"/>
  <c r="M806" i="1"/>
  <c r="L100" i="12"/>
  <c r="C100" i="12"/>
  <c r="B227" i="6"/>
  <c r="M227" i="6"/>
  <c r="C127" i="5"/>
  <c r="I777" i="1"/>
  <c r="L790" i="1"/>
  <c r="N790" i="1"/>
  <c r="M790" i="1"/>
  <c r="K790" i="1"/>
  <c r="M222" i="6"/>
  <c r="C122" i="5"/>
  <c r="I772" i="1"/>
  <c r="B222" i="6"/>
  <c r="L95" i="12"/>
  <c r="C95" i="12"/>
  <c r="L788" i="1"/>
  <c r="N788" i="1"/>
  <c r="M788" i="1"/>
  <c r="K788" i="1"/>
  <c r="I776" i="1"/>
  <c r="L99" i="12"/>
  <c r="C99" i="12"/>
  <c r="B226" i="6"/>
  <c r="M226" i="6"/>
  <c r="C126" i="5"/>
  <c r="M785" i="1"/>
  <c r="L785" i="1"/>
  <c r="K785" i="1"/>
  <c r="N785" i="1"/>
  <c r="L792" i="1"/>
  <c r="N792" i="1"/>
  <c r="M792" i="1"/>
  <c r="K792" i="1"/>
  <c r="C96" i="12"/>
  <c r="B223" i="6"/>
  <c r="M223" i="6"/>
  <c r="C123" i="5"/>
  <c r="L96" i="12"/>
  <c r="I773" i="1"/>
  <c r="I769" i="1"/>
  <c r="C119" i="5"/>
  <c r="U809" i="1"/>
  <c r="K809" i="1"/>
  <c r="M809" i="1"/>
  <c r="V809" i="1"/>
  <c r="N809" i="1"/>
  <c r="T809" i="1"/>
  <c r="L809" i="1"/>
  <c r="S809" i="1"/>
  <c r="L92" i="12"/>
  <c r="C92" i="12"/>
  <c r="B219" i="6"/>
  <c r="M219" i="6"/>
  <c r="C117" i="5"/>
  <c r="I767" i="1"/>
  <c r="K786" i="1"/>
  <c r="L786" i="1"/>
  <c r="N786" i="1"/>
  <c r="M786" i="1"/>
  <c r="C89" i="12"/>
  <c r="B216" i="6"/>
  <c r="M216" i="6"/>
  <c r="L89" i="12"/>
  <c r="C114" i="5"/>
  <c r="I764" i="1"/>
  <c r="M808" i="1"/>
  <c r="S808" i="1"/>
  <c r="V808" i="1"/>
  <c r="T808" i="1"/>
  <c r="N808" i="1"/>
  <c r="L808" i="1"/>
  <c r="U808" i="1"/>
  <c r="K808" i="1"/>
  <c r="M215" i="6"/>
  <c r="C113" i="5"/>
  <c r="B215" i="6"/>
  <c r="I763" i="1"/>
  <c r="L88" i="12"/>
  <c r="C88" i="12"/>
  <c r="I774" i="1"/>
  <c r="C124" i="5"/>
  <c r="L97" i="12"/>
  <c r="C97" i="12"/>
  <c r="B224" i="6"/>
  <c r="M224" i="6"/>
  <c r="T810" i="1"/>
  <c r="L810" i="1"/>
  <c r="N810" i="1"/>
  <c r="U810" i="1"/>
  <c r="S810" i="1"/>
  <c r="M810" i="1"/>
  <c r="K810" i="1"/>
  <c r="V810" i="1"/>
  <c r="B217" i="6"/>
  <c r="M217" i="6"/>
  <c r="C115" i="5"/>
  <c r="C90" i="12"/>
  <c r="I765" i="1"/>
  <c r="L90" i="12"/>
  <c r="K789" i="1"/>
  <c r="N789" i="1"/>
  <c r="L789" i="1"/>
  <c r="M789" i="1"/>
  <c r="L93" i="12"/>
  <c r="C93" i="12"/>
  <c r="B220" i="6"/>
  <c r="M220" i="6"/>
  <c r="C118" i="5"/>
  <c r="I768" i="1"/>
  <c r="Q77" i="6"/>
  <c r="G43" i="6"/>
  <c r="Q183" i="6"/>
  <c r="H59" i="14"/>
  <c r="P183" i="6"/>
  <c r="I59" i="14"/>
  <c r="R24" i="6"/>
  <c r="F77" i="6"/>
  <c r="O77" i="6"/>
  <c r="H77" i="6"/>
  <c r="E26" i="12"/>
  <c r="O43" i="6"/>
  <c r="F59" i="14"/>
  <c r="O26" i="12"/>
  <c r="F24" i="6"/>
  <c r="O59" i="14"/>
  <c r="R19" i="6"/>
  <c r="G59" i="14"/>
  <c r="P59" i="14"/>
  <c r="P26" i="12"/>
  <c r="I26" i="12"/>
  <c r="E24" i="6"/>
  <c r="R59" i="14"/>
  <c r="R58" i="14"/>
  <c r="G26" i="12"/>
  <c r="O24" i="6"/>
  <c r="Q24" i="6"/>
  <c r="E58" i="14"/>
  <c r="N58" i="14"/>
  <c r="H58" i="14"/>
  <c r="G58" i="14"/>
  <c r="F19" i="6"/>
  <c r="O58" i="14"/>
  <c r="P58" i="14"/>
  <c r="F26" i="12"/>
  <c r="D24" i="6"/>
  <c r="G24" i="6"/>
  <c r="H19" i="6"/>
  <c r="O19" i="6"/>
  <c r="Q19" i="6"/>
  <c r="D19" i="6"/>
  <c r="G19" i="6"/>
  <c r="E19" i="6"/>
  <c r="S19" i="6"/>
  <c r="H80" i="6"/>
  <c r="G80" i="6"/>
  <c r="P80" i="6"/>
  <c r="S182" i="6"/>
  <c r="H182" i="6"/>
  <c r="D182" i="6"/>
  <c r="P182" i="6"/>
  <c r="E182" i="6"/>
  <c r="Q182" i="6"/>
  <c r="G182" i="6"/>
  <c r="F182" i="6"/>
  <c r="O182" i="6"/>
  <c r="O183" i="6"/>
  <c r="E183" i="6"/>
  <c r="H183" i="6"/>
  <c r="G183" i="6"/>
  <c r="F183" i="6"/>
  <c r="S183" i="6"/>
  <c r="N59" i="14"/>
  <c r="Q59" i="14"/>
  <c r="R183" i="6"/>
  <c r="P50" i="6"/>
  <c r="F80" i="6"/>
  <c r="S80" i="6"/>
  <c r="E80" i="6"/>
  <c r="D80" i="6"/>
  <c r="Q80" i="6"/>
  <c r="O80" i="6"/>
  <c r="R50" i="6"/>
  <c r="F43" i="6"/>
  <c r="Q43" i="6"/>
  <c r="G77" i="6"/>
  <c r="R77" i="6"/>
  <c r="E77" i="6"/>
  <c r="O50" i="6"/>
  <c r="P43" i="6"/>
  <c r="S43" i="6"/>
  <c r="R43" i="6"/>
  <c r="S77" i="6"/>
  <c r="G50" i="6"/>
  <c r="D43" i="6"/>
  <c r="E43" i="6"/>
  <c r="S50" i="6"/>
  <c r="F50" i="6"/>
  <c r="D50" i="6"/>
  <c r="Q50" i="6"/>
  <c r="H50" i="6"/>
  <c r="E52" i="12"/>
  <c r="P52" i="12"/>
  <c r="O52" i="12"/>
  <c r="F52" i="12"/>
  <c r="I52" i="12"/>
  <c r="N52" i="12"/>
  <c r="H52" i="12"/>
  <c r="F65" i="6"/>
  <c r="G52" i="12"/>
  <c r="Q52" i="12"/>
  <c r="E81" i="6"/>
  <c r="P81" i="6"/>
  <c r="D81" i="6"/>
  <c r="S81" i="6"/>
  <c r="F81" i="6"/>
  <c r="G81" i="6"/>
  <c r="Q81" i="6"/>
  <c r="O81" i="6"/>
  <c r="H81" i="6"/>
  <c r="D59" i="6"/>
  <c r="E90" i="6"/>
  <c r="S59" i="6"/>
  <c r="O59" i="6"/>
  <c r="G59" i="6"/>
  <c r="P59" i="6"/>
  <c r="H59" i="6"/>
  <c r="Q59" i="6"/>
  <c r="E59" i="6"/>
  <c r="R59" i="6"/>
  <c r="I61" i="12"/>
  <c r="Q90" i="6"/>
  <c r="I22" i="13"/>
  <c r="H90" i="6"/>
  <c r="F61" i="12"/>
  <c r="G22" i="13"/>
  <c r="O23" i="6"/>
  <c r="H22" i="13"/>
  <c r="E22" i="13"/>
  <c r="O22" i="13"/>
  <c r="P66" i="6"/>
  <c r="P22" i="13"/>
  <c r="D23" i="6"/>
  <c r="Q22" i="13"/>
  <c r="S22" i="13"/>
  <c r="R22" i="13"/>
  <c r="P24" i="12"/>
  <c r="D90" i="6"/>
  <c r="O90" i="6"/>
  <c r="G90" i="6"/>
  <c r="G61" i="12"/>
  <c r="E61" i="12"/>
  <c r="O61" i="12"/>
  <c r="F23" i="6"/>
  <c r="N61" i="12"/>
  <c r="P61" i="12"/>
  <c r="Q116" i="6"/>
  <c r="E24" i="12"/>
  <c r="P90" i="6"/>
  <c r="R90" i="6"/>
  <c r="H61" i="12"/>
  <c r="Q61" i="12"/>
  <c r="S90" i="6"/>
  <c r="E23" i="6"/>
  <c r="N24" i="12"/>
  <c r="Q23" i="6"/>
  <c r="I24" i="12"/>
  <c r="E66" i="6"/>
  <c r="G23" i="6"/>
  <c r="H66" i="6"/>
  <c r="G66" i="6"/>
  <c r="O24" i="12"/>
  <c r="F97" i="6"/>
  <c r="Q97" i="6"/>
  <c r="S23" i="6"/>
  <c r="O18" i="6"/>
  <c r="O66" i="6"/>
  <c r="P23" i="6"/>
  <c r="G24" i="12"/>
  <c r="S66" i="6"/>
  <c r="F66" i="6"/>
  <c r="D66" i="6"/>
  <c r="H24" i="12"/>
  <c r="Q18" i="6"/>
  <c r="R23" i="6"/>
  <c r="Q24" i="12"/>
  <c r="Q66" i="6"/>
  <c r="R97" i="6"/>
  <c r="R24" i="12"/>
  <c r="Q75" i="6"/>
  <c r="E22" i="12"/>
  <c r="D97" i="6"/>
  <c r="R19" i="12"/>
  <c r="H19" i="12"/>
  <c r="E19" i="12"/>
  <c r="N19" i="12"/>
  <c r="Q19" i="12"/>
  <c r="I19" i="12"/>
  <c r="F19" i="12"/>
  <c r="G19" i="12"/>
  <c r="R76" i="6"/>
  <c r="P19" i="12"/>
  <c r="S75" i="6"/>
  <c r="E18" i="6"/>
  <c r="H75" i="6"/>
  <c r="F18" i="6"/>
  <c r="P75" i="6"/>
  <c r="F75" i="6"/>
  <c r="O75" i="6"/>
  <c r="P18" i="6"/>
  <c r="H18" i="6"/>
  <c r="G75" i="6"/>
  <c r="D75" i="6"/>
  <c r="G18" i="6"/>
  <c r="E75" i="6"/>
  <c r="D18" i="6"/>
  <c r="P27" i="12"/>
  <c r="G59" i="12"/>
  <c r="G21" i="6"/>
  <c r="O59" i="12"/>
  <c r="N59" i="12"/>
  <c r="F59" i="12"/>
  <c r="Q59" i="12"/>
  <c r="E59" i="12"/>
  <c r="R59" i="12"/>
  <c r="P59" i="12"/>
  <c r="H59" i="12"/>
  <c r="H46" i="6"/>
  <c r="F26" i="6"/>
  <c r="G62" i="6"/>
  <c r="G97" i="6"/>
  <c r="O46" i="12"/>
  <c r="Q26" i="6"/>
  <c r="F46" i="12"/>
  <c r="H46" i="12"/>
  <c r="R18" i="6"/>
  <c r="I46" i="12"/>
  <c r="R46" i="12"/>
  <c r="Q46" i="12"/>
  <c r="S21" i="6"/>
  <c r="R27" i="12"/>
  <c r="I27" i="12"/>
  <c r="N27" i="12"/>
  <c r="F27" i="12"/>
  <c r="P63" i="12"/>
  <c r="P46" i="12"/>
  <c r="O27" i="12"/>
  <c r="O62" i="6"/>
  <c r="H27" i="12"/>
  <c r="Q27" i="12"/>
  <c r="I63" i="12"/>
  <c r="E46" i="12"/>
  <c r="Q62" i="6"/>
  <c r="P62" i="6"/>
  <c r="P21" i="6"/>
  <c r="G63" i="12"/>
  <c r="E21" i="6"/>
  <c r="O21" i="6"/>
  <c r="G27" i="12"/>
  <c r="O20" i="12"/>
  <c r="N63" i="12"/>
  <c r="G46" i="12"/>
  <c r="G46" i="6"/>
  <c r="E53" i="6"/>
  <c r="P97" i="6"/>
  <c r="F53" i="6"/>
  <c r="P26" i="6"/>
  <c r="H26" i="6"/>
  <c r="R20" i="12"/>
  <c r="R46" i="6"/>
  <c r="F46" i="6"/>
  <c r="S53" i="6"/>
  <c r="Q53" i="6"/>
  <c r="E97" i="6"/>
  <c r="E20" i="12"/>
  <c r="F20" i="12"/>
  <c r="S26" i="6"/>
  <c r="O26" i="6"/>
  <c r="G26" i="6"/>
  <c r="P46" i="6"/>
  <c r="E26" i="6"/>
  <c r="S46" i="6"/>
  <c r="S97" i="6"/>
  <c r="O97" i="6"/>
  <c r="R26" i="6"/>
  <c r="H20" i="12"/>
  <c r="R53" i="6"/>
  <c r="N64" i="12"/>
  <c r="G76" i="6"/>
  <c r="P76" i="6"/>
  <c r="P20" i="12"/>
  <c r="R63" i="12"/>
  <c r="R64" i="12"/>
  <c r="Q21" i="6"/>
  <c r="G20" i="12"/>
  <c r="I20" i="12"/>
  <c r="F63" i="12"/>
  <c r="Q63" i="12"/>
  <c r="E63" i="12"/>
  <c r="S62" i="6"/>
  <c r="F62" i="6"/>
  <c r="E62" i="6"/>
  <c r="N20" i="12"/>
  <c r="F21" i="6"/>
  <c r="E76" i="6"/>
  <c r="H76" i="6"/>
  <c r="D21" i="6"/>
  <c r="R64" i="6"/>
  <c r="R21" i="6"/>
  <c r="H63" i="12"/>
  <c r="H62" i="6"/>
  <c r="G64" i="12"/>
  <c r="Q76" i="6"/>
  <c r="D62" i="6"/>
  <c r="G45" i="6"/>
  <c r="D64" i="6"/>
  <c r="Q64" i="12"/>
  <c r="E64" i="12"/>
  <c r="O64" i="12"/>
  <c r="O76" i="6"/>
  <c r="R22" i="12"/>
  <c r="G23" i="12"/>
  <c r="G64" i="6"/>
  <c r="P64" i="12"/>
  <c r="F64" i="12"/>
  <c r="H64" i="12"/>
  <c r="N22" i="12"/>
  <c r="Q22" i="12"/>
  <c r="H22" i="12"/>
  <c r="D76" i="6"/>
  <c r="S76" i="6"/>
  <c r="E64" i="6"/>
  <c r="G22" i="12"/>
  <c r="H23" i="12"/>
  <c r="E66" i="12"/>
  <c r="Q66" i="12"/>
  <c r="O66" i="12"/>
  <c r="H66" i="12"/>
  <c r="F48" i="12"/>
  <c r="F22" i="12"/>
  <c r="N66" i="12"/>
  <c r="G48" i="12"/>
  <c r="F66" i="12"/>
  <c r="P22" i="12"/>
  <c r="I22" i="12"/>
  <c r="H48" i="12"/>
  <c r="F45" i="6"/>
  <c r="R45" i="6"/>
  <c r="O45" i="6"/>
  <c r="E45" i="6"/>
  <c r="Q45" i="6"/>
  <c r="H45" i="6"/>
  <c r="P22" i="6"/>
  <c r="R66" i="12"/>
  <c r="D45" i="6"/>
  <c r="P66" i="12"/>
  <c r="G66" i="12"/>
  <c r="S45" i="6"/>
  <c r="R48" i="12"/>
  <c r="Q48" i="12"/>
  <c r="H47" i="6"/>
  <c r="P95" i="6"/>
  <c r="E46" i="6"/>
  <c r="O46" i="6"/>
  <c r="D56" i="6"/>
  <c r="D53" i="6"/>
  <c r="O53" i="6"/>
  <c r="I48" i="12"/>
  <c r="F95" i="6"/>
  <c r="H53" i="6"/>
  <c r="O48" i="12"/>
  <c r="G53" i="6"/>
  <c r="Q23" i="12"/>
  <c r="I23" i="12"/>
  <c r="P23" i="12"/>
  <c r="O23" i="12"/>
  <c r="D46" i="6"/>
  <c r="E48" i="12"/>
  <c r="P48" i="12"/>
  <c r="S116" i="6"/>
  <c r="H116" i="6"/>
  <c r="O116" i="6"/>
  <c r="F116" i="6"/>
  <c r="G116" i="6"/>
  <c r="R47" i="6"/>
  <c r="F47" i="6"/>
  <c r="Q47" i="6"/>
  <c r="G47" i="6"/>
  <c r="D95" i="6"/>
  <c r="S64" i="6"/>
  <c r="E47" i="6"/>
  <c r="S63" i="6"/>
  <c r="P74" i="6"/>
  <c r="O47" i="6"/>
  <c r="D47" i="6"/>
  <c r="H60" i="12"/>
  <c r="S47" i="6"/>
  <c r="F64" i="6"/>
  <c r="E95" i="6"/>
  <c r="P52" i="6"/>
  <c r="O61" i="6"/>
  <c r="E61" i="6"/>
  <c r="D61" i="6"/>
  <c r="E84" i="6"/>
  <c r="P61" i="6"/>
  <c r="Q61" i="6"/>
  <c r="Q64" i="6"/>
  <c r="P64" i="6"/>
  <c r="F61" i="6"/>
  <c r="H61" i="6"/>
  <c r="S61" i="6"/>
  <c r="O64" i="6"/>
  <c r="G61" i="6"/>
  <c r="G89" i="6"/>
  <c r="R95" i="6"/>
  <c r="H95" i="6"/>
  <c r="H74" i="6"/>
  <c r="S74" i="6"/>
  <c r="R74" i="6"/>
  <c r="G95" i="6"/>
  <c r="O95" i="6"/>
  <c r="S95" i="6"/>
  <c r="Q55" i="12"/>
  <c r="R47" i="12"/>
  <c r="O74" i="6"/>
  <c r="E47" i="12"/>
  <c r="S89" i="6"/>
  <c r="E74" i="6"/>
  <c r="F74" i="6"/>
  <c r="H47" i="12"/>
  <c r="Q47" i="12"/>
  <c r="R58" i="6"/>
  <c r="G47" i="12"/>
  <c r="P47" i="12"/>
  <c r="F47" i="12"/>
  <c r="G54" i="12"/>
  <c r="E89" i="6"/>
  <c r="O47" i="12"/>
  <c r="D89" i="6"/>
  <c r="I47" i="12"/>
  <c r="E56" i="6"/>
  <c r="O58" i="6"/>
  <c r="P58" i="6"/>
  <c r="S58" i="6"/>
  <c r="Q89" i="6"/>
  <c r="H51" i="12"/>
  <c r="E51" i="12"/>
  <c r="E58" i="6"/>
  <c r="F89" i="6"/>
  <c r="F58" i="6"/>
  <c r="R57" i="12"/>
  <c r="E54" i="12"/>
  <c r="N54" i="12"/>
  <c r="D58" i="6"/>
  <c r="Q58" i="6"/>
  <c r="F55" i="12"/>
  <c r="P51" i="12"/>
  <c r="O57" i="12"/>
  <c r="G58" i="6"/>
  <c r="P89" i="6"/>
  <c r="H89" i="6"/>
  <c r="O89" i="6"/>
  <c r="Q51" i="12"/>
  <c r="H57" i="12"/>
  <c r="R54" i="12"/>
  <c r="O51" i="12"/>
  <c r="F54" i="12"/>
  <c r="H54" i="12"/>
  <c r="E52" i="6"/>
  <c r="H52" i="6"/>
  <c r="N45" i="12"/>
  <c r="R51" i="12"/>
  <c r="R49" i="12"/>
  <c r="G86" i="6"/>
  <c r="I51" i="12"/>
  <c r="F51" i="12"/>
  <c r="N57" i="12"/>
  <c r="Q54" i="12"/>
  <c r="R45" i="12"/>
  <c r="P45" i="12"/>
  <c r="G45" i="12"/>
  <c r="R52" i="6"/>
  <c r="N49" i="12"/>
  <c r="D52" i="6"/>
  <c r="O52" i="6"/>
  <c r="F57" i="12"/>
  <c r="Q57" i="12"/>
  <c r="G57" i="12"/>
  <c r="N51" i="12"/>
  <c r="O45" i="12"/>
  <c r="Q45" i="12"/>
  <c r="S52" i="6"/>
  <c r="O60" i="12"/>
  <c r="E57" i="12"/>
  <c r="I57" i="12"/>
  <c r="I54" i="12"/>
  <c r="P54" i="12"/>
  <c r="Q74" i="6"/>
  <c r="G74" i="6"/>
  <c r="E60" i="12"/>
  <c r="P49" i="12"/>
  <c r="F49" i="12"/>
  <c r="I49" i="12"/>
  <c r="O55" i="12"/>
  <c r="E45" i="12"/>
  <c r="I45" i="12"/>
  <c r="H45" i="12"/>
  <c r="S84" i="6"/>
  <c r="E49" i="12"/>
  <c r="G78" i="6"/>
  <c r="H86" i="6"/>
  <c r="F78" i="6"/>
  <c r="G83" i="6"/>
  <c r="P60" i="12"/>
  <c r="I60" i="12"/>
  <c r="H84" i="6"/>
  <c r="O49" i="12"/>
  <c r="Q84" i="6"/>
  <c r="N60" i="12"/>
  <c r="S78" i="6"/>
  <c r="G49" i="12"/>
  <c r="H49" i="12"/>
  <c r="H78" i="6"/>
  <c r="O84" i="6"/>
  <c r="O78" i="6"/>
  <c r="F86" i="6"/>
  <c r="D86" i="6"/>
  <c r="N55" i="12"/>
  <c r="P84" i="6"/>
  <c r="G55" i="12"/>
  <c r="P78" i="6"/>
  <c r="Q78" i="6"/>
  <c r="S86" i="6"/>
  <c r="Q86" i="6"/>
  <c r="P86" i="6"/>
  <c r="E86" i="6"/>
  <c r="O86" i="6"/>
  <c r="F60" i="12"/>
  <c r="S83" i="6"/>
  <c r="Q60" i="12"/>
  <c r="R78" i="6"/>
  <c r="E78" i="6"/>
  <c r="R60" i="12"/>
  <c r="F84" i="6"/>
  <c r="E55" i="12"/>
  <c r="N25" i="12"/>
  <c r="E23" i="12"/>
  <c r="N23" i="12"/>
  <c r="R23" i="12"/>
  <c r="F25" i="12"/>
  <c r="O21" i="12"/>
  <c r="O22" i="6"/>
  <c r="Q29" i="6"/>
  <c r="I29" i="12"/>
  <c r="E22" i="6"/>
  <c r="H30" i="6"/>
  <c r="Q28" i="12"/>
  <c r="F28" i="12"/>
  <c r="O29" i="6"/>
  <c r="G20" i="6"/>
  <c r="F20" i="6"/>
  <c r="I30" i="12"/>
  <c r="Q30" i="6"/>
  <c r="G30" i="6"/>
  <c r="O30" i="6"/>
  <c r="R30" i="6"/>
  <c r="S30" i="6"/>
  <c r="D30" i="6"/>
  <c r="E30" i="6"/>
  <c r="P30" i="6"/>
  <c r="E116" i="6"/>
  <c r="P116" i="6"/>
  <c r="R116" i="6"/>
  <c r="H31" i="12"/>
  <c r="I31" i="12"/>
  <c r="F30" i="12"/>
  <c r="O30" i="12"/>
  <c r="G29" i="6"/>
  <c r="S29" i="6"/>
  <c r="P20" i="6"/>
  <c r="H20" i="6"/>
  <c r="E30" i="12"/>
  <c r="H83" i="6"/>
  <c r="Q83" i="6"/>
  <c r="R83" i="6"/>
  <c r="D83" i="6"/>
  <c r="U353" i="4"/>
  <c r="K357" i="4"/>
  <c r="T357" i="4"/>
  <c r="N357" i="4"/>
  <c r="S357" i="4"/>
  <c r="M357" i="4"/>
  <c r="V353" i="4"/>
  <c r="L357" i="4"/>
  <c r="N31" i="12"/>
  <c r="H30" i="12"/>
  <c r="D29" i="6"/>
  <c r="E29" i="6"/>
  <c r="E20" i="6"/>
  <c r="P30" i="12"/>
  <c r="Q20" i="6"/>
  <c r="R29" i="6"/>
  <c r="E83" i="6"/>
  <c r="H49" i="6"/>
  <c r="D49" i="6"/>
  <c r="R84" i="6"/>
  <c r="G84" i="6"/>
  <c r="R55" i="12"/>
  <c r="I55" i="12"/>
  <c r="P55" i="12"/>
  <c r="Q30" i="12"/>
  <c r="H29" i="6"/>
  <c r="F29" i="6"/>
  <c r="G30" i="12"/>
  <c r="R30" i="12"/>
  <c r="S20" i="6"/>
  <c r="O20" i="6"/>
  <c r="R20" i="6"/>
  <c r="P83" i="6"/>
  <c r="O83" i="6"/>
  <c r="S356" i="4"/>
  <c r="M356" i="4"/>
  <c r="V352" i="4"/>
  <c r="L356" i="4"/>
  <c r="U352" i="4"/>
  <c r="K356" i="4"/>
  <c r="T356" i="4"/>
  <c r="N356" i="4"/>
  <c r="Q52" i="6"/>
  <c r="G52" i="6"/>
  <c r="P355" i="4"/>
  <c r="Q355" i="4"/>
  <c r="Q374" i="4"/>
  <c r="P374" i="4"/>
  <c r="I25" i="12"/>
  <c r="N29" i="12"/>
  <c r="F22" i="6"/>
  <c r="S22" i="6"/>
  <c r="O27" i="6"/>
  <c r="G25" i="12"/>
  <c r="E25" i="12"/>
  <c r="Q25" i="12"/>
  <c r="D27" i="6"/>
  <c r="P25" i="12"/>
  <c r="G22" i="6"/>
  <c r="Q22" i="6"/>
  <c r="Q29" i="12"/>
  <c r="R25" i="12"/>
  <c r="N28" i="12"/>
  <c r="Q25" i="6"/>
  <c r="P27" i="6"/>
  <c r="R29" i="12"/>
  <c r="H22" i="6"/>
  <c r="D22" i="6"/>
  <c r="O25" i="12"/>
  <c r="O87" i="6"/>
  <c r="S49" i="6"/>
  <c r="G49" i="6"/>
  <c r="R49" i="6"/>
  <c r="Q49" i="6"/>
  <c r="O49" i="6"/>
  <c r="E49" i="6"/>
  <c r="F49" i="6"/>
  <c r="F87" i="6"/>
  <c r="G87" i="6"/>
  <c r="P87" i="6"/>
  <c r="Q63" i="6"/>
  <c r="S56" i="6"/>
  <c r="O28" i="6"/>
  <c r="Q28" i="6"/>
  <c r="O28" i="12"/>
  <c r="S28" i="6"/>
  <c r="O25" i="6"/>
  <c r="F29" i="12"/>
  <c r="O29" i="12"/>
  <c r="G28" i="12"/>
  <c r="R28" i="12"/>
  <c r="E28" i="12"/>
  <c r="I28" i="12"/>
  <c r="P29" i="12"/>
  <c r="G29" i="12"/>
  <c r="E28" i="6"/>
  <c r="G25" i="6"/>
  <c r="E29" i="12"/>
  <c r="P28" i="12"/>
  <c r="G27" i="6"/>
  <c r="F27" i="6"/>
  <c r="Q31" i="12"/>
  <c r="G31" i="12"/>
  <c r="E31" i="12"/>
  <c r="D28" i="6"/>
  <c r="F28" i="6"/>
  <c r="Q27" i="6"/>
  <c r="H27" i="6"/>
  <c r="D25" i="6"/>
  <c r="R31" i="12"/>
  <c r="E27" i="6"/>
  <c r="P28" i="6"/>
  <c r="G28" i="6"/>
  <c r="R28" i="6"/>
  <c r="F31" i="12"/>
  <c r="O31" i="12"/>
  <c r="R27" i="6"/>
  <c r="S25" i="6"/>
  <c r="R21" i="12"/>
  <c r="H21" i="12"/>
  <c r="F21" i="12"/>
  <c r="Q21" i="12"/>
  <c r="I21" i="12"/>
  <c r="E21" i="12"/>
  <c r="G21" i="12"/>
  <c r="P21" i="12"/>
  <c r="O56" i="6"/>
  <c r="G56" i="6"/>
  <c r="F56" i="6"/>
  <c r="R87" i="6"/>
  <c r="S87" i="6"/>
  <c r="Q87" i="6"/>
  <c r="R53" i="12"/>
  <c r="Q53" i="12"/>
  <c r="P53" i="12"/>
  <c r="P56" i="6"/>
  <c r="R56" i="6"/>
  <c r="Q56" i="6"/>
  <c r="D87" i="6"/>
  <c r="H87" i="6"/>
  <c r="P25" i="6"/>
  <c r="R25" i="6"/>
  <c r="H25" i="6"/>
  <c r="E25" i="6"/>
  <c r="D55" i="6"/>
  <c r="R55" i="6"/>
  <c r="F55" i="6"/>
  <c r="Q55" i="6"/>
  <c r="E55" i="6"/>
  <c r="P55" i="6"/>
  <c r="S55" i="6"/>
  <c r="H55" i="6"/>
  <c r="O55" i="6"/>
  <c r="G55" i="6"/>
  <c r="R18" i="13"/>
  <c r="H18" i="13"/>
  <c r="F18" i="13"/>
  <c r="S18" i="13"/>
  <c r="P18" i="13"/>
  <c r="I18" i="13"/>
  <c r="E18" i="13"/>
  <c r="O18" i="13"/>
  <c r="Q18" i="13"/>
  <c r="F112" i="6"/>
  <c r="S112" i="6"/>
  <c r="P112" i="6"/>
  <c r="Q112" i="6"/>
  <c r="G112" i="6"/>
  <c r="O112" i="6"/>
  <c r="R112" i="6"/>
  <c r="D112" i="6"/>
  <c r="E112" i="6"/>
  <c r="F876" i="1"/>
  <c r="G874" i="1"/>
  <c r="B940" i="1" s="1"/>
  <c r="Q937" i="1"/>
  <c r="S937" i="1"/>
  <c r="R937" i="1"/>
  <c r="T937" i="1"/>
  <c r="P937" i="1"/>
  <c r="I916" i="1"/>
  <c r="D938" i="1" s="1"/>
  <c r="E938" i="1" s="1"/>
  <c r="H917" i="1"/>
  <c r="O114" i="6"/>
  <c r="E114" i="6"/>
  <c r="R114" i="6"/>
  <c r="D114" i="6"/>
  <c r="P114" i="6"/>
  <c r="F114" i="6"/>
  <c r="S114" i="6"/>
  <c r="H114" i="6"/>
  <c r="G114" i="6"/>
  <c r="Q114" i="6"/>
  <c r="O19" i="13"/>
  <c r="F19" i="13"/>
  <c r="S19" i="13"/>
  <c r="R19" i="13"/>
  <c r="E19" i="13"/>
  <c r="I19" i="13"/>
  <c r="P19" i="13"/>
  <c r="G19" i="13"/>
  <c r="Q19" i="13"/>
  <c r="H19" i="13"/>
  <c r="S20" i="13"/>
  <c r="Q20" i="13"/>
  <c r="R20" i="13"/>
  <c r="I20" i="13"/>
  <c r="H20" i="13"/>
  <c r="P20" i="13"/>
  <c r="E20" i="13"/>
  <c r="G20" i="13"/>
  <c r="F20" i="13"/>
  <c r="O20" i="13"/>
  <c r="S115" i="6"/>
  <c r="Q115" i="6"/>
  <c r="R115" i="6"/>
  <c r="H115" i="6"/>
  <c r="G115" i="6"/>
  <c r="F115" i="6"/>
  <c r="D115" i="6"/>
  <c r="P115" i="6"/>
  <c r="O115" i="6"/>
  <c r="E115" i="6"/>
  <c r="Q113" i="6"/>
  <c r="G113" i="6"/>
  <c r="P113" i="6"/>
  <c r="F113" i="6"/>
  <c r="O113" i="6"/>
  <c r="R113" i="6"/>
  <c r="H113" i="6"/>
  <c r="E113" i="6"/>
  <c r="S113" i="6"/>
  <c r="D113" i="6"/>
  <c r="Q21" i="13"/>
  <c r="H21" i="13"/>
  <c r="O21" i="13"/>
  <c r="P21" i="13"/>
  <c r="G21" i="13"/>
  <c r="F21" i="13"/>
  <c r="R21" i="13"/>
  <c r="I21" i="13"/>
  <c r="E21" i="13"/>
  <c r="S21" i="13"/>
  <c r="G221" i="6"/>
  <c r="F221" i="6"/>
  <c r="I221" i="6" s="1"/>
  <c r="R221" i="6"/>
  <c r="Q221" i="6"/>
  <c r="T221" i="6" s="1"/>
  <c r="H125" i="5"/>
  <c r="G125" i="5"/>
  <c r="J125" i="5" s="1"/>
  <c r="Q98" i="12"/>
  <c r="H98" i="12"/>
  <c r="P98" i="12"/>
  <c r="S98" i="12" s="1"/>
  <c r="G98" i="12"/>
  <c r="J98" i="12" s="1"/>
  <c r="H121" i="5"/>
  <c r="G121" i="5"/>
  <c r="J121" i="5" s="1"/>
  <c r="Q94" i="12"/>
  <c r="H94" i="12"/>
  <c r="P94" i="12"/>
  <c r="S94" i="12" s="1"/>
  <c r="G94" i="12"/>
  <c r="J94" i="12" s="1"/>
  <c r="G225" i="6"/>
  <c r="F225" i="6"/>
  <c r="I225" i="6" s="1"/>
  <c r="R225" i="6"/>
  <c r="Q225" i="6"/>
  <c r="T225" i="6" s="1"/>
  <c r="P60" i="6" l="1"/>
  <c r="Q82" i="6"/>
  <c r="O88" i="6"/>
  <c r="O63" i="6"/>
  <c r="H63" i="6"/>
  <c r="R63" i="6"/>
  <c r="R67" i="12"/>
  <c r="I67" i="12"/>
  <c r="O67" i="12"/>
  <c r="P56" i="12"/>
  <c r="Q56" i="12"/>
  <c r="R51" i="6"/>
  <c r="G51" i="6"/>
  <c r="P82" i="6"/>
  <c r="F82" i="6"/>
  <c r="I68" i="12"/>
  <c r="G68" i="12"/>
  <c r="S82" i="6"/>
  <c r="H68" i="12"/>
  <c r="G82" i="6"/>
  <c r="O82" i="6"/>
  <c r="E82" i="6"/>
  <c r="G67" i="12"/>
  <c r="F67" i="12"/>
  <c r="H88" i="6"/>
  <c r="R82" i="6"/>
  <c r="D82" i="6"/>
  <c r="Q68" i="12"/>
  <c r="Q79" i="6"/>
  <c r="O68" i="12"/>
  <c r="R68" i="12"/>
  <c r="H65" i="6"/>
  <c r="N68" i="12"/>
  <c r="F68" i="12"/>
  <c r="P68" i="12"/>
  <c r="D79" i="6"/>
  <c r="O79" i="6"/>
  <c r="H79" i="6"/>
  <c r="O51" i="6"/>
  <c r="H53" i="12"/>
  <c r="D51" i="6"/>
  <c r="G54" i="6"/>
  <c r="Q54" i="6"/>
  <c r="F54" i="6"/>
  <c r="O54" i="6"/>
  <c r="N67" i="12"/>
  <c r="E51" i="6"/>
  <c r="H51" i="6"/>
  <c r="G53" i="12"/>
  <c r="O53" i="12"/>
  <c r="S51" i="6"/>
  <c r="E54" i="6"/>
  <c r="H54" i="6"/>
  <c r="P67" i="12"/>
  <c r="E53" i="12"/>
  <c r="S54" i="6"/>
  <c r="H67" i="12"/>
  <c r="N53" i="12"/>
  <c r="Q51" i="6"/>
  <c r="I53" i="12"/>
  <c r="F51" i="6"/>
  <c r="D54" i="6"/>
  <c r="R54" i="6"/>
  <c r="Q67" i="12"/>
  <c r="F56" i="12"/>
  <c r="G88" i="6"/>
  <c r="G56" i="12"/>
  <c r="N56" i="12"/>
  <c r="P88" i="6"/>
  <c r="E56" i="12"/>
  <c r="Q88" i="6"/>
  <c r="F88" i="6"/>
  <c r="O56" i="12"/>
  <c r="I56" i="12"/>
  <c r="E88" i="6"/>
  <c r="H56" i="12"/>
  <c r="S88" i="6"/>
  <c r="R88" i="6"/>
  <c r="E65" i="6"/>
  <c r="G65" i="6"/>
  <c r="O65" i="6"/>
  <c r="S65" i="6"/>
  <c r="P65" i="6"/>
  <c r="O65" i="12"/>
  <c r="R65" i="6"/>
  <c r="D65" i="6"/>
  <c r="F79" i="6"/>
  <c r="P79" i="6"/>
  <c r="R79" i="6"/>
  <c r="E79" i="6"/>
  <c r="E63" i="6"/>
  <c r="F63" i="6"/>
  <c r="G62" i="12"/>
  <c r="Q62" i="12"/>
  <c r="P62" i="12"/>
  <c r="H62" i="12"/>
  <c r="N62" i="12"/>
  <c r="G63" i="6"/>
  <c r="I62" i="12"/>
  <c r="F60" i="6"/>
  <c r="O60" i="6"/>
  <c r="R62" i="12"/>
  <c r="D63" i="6"/>
  <c r="G60" i="6"/>
  <c r="F62" i="12"/>
  <c r="E62" i="12"/>
  <c r="R60" i="6"/>
  <c r="Q60" i="6"/>
  <c r="S60" i="6"/>
  <c r="E60" i="6"/>
  <c r="H60" i="6"/>
  <c r="I50" i="12"/>
  <c r="P50" i="12"/>
  <c r="F50" i="12"/>
  <c r="G50" i="12"/>
  <c r="O50" i="12"/>
  <c r="R50" i="12"/>
  <c r="N50" i="12"/>
  <c r="E50" i="12"/>
  <c r="Q50" i="12"/>
  <c r="H50" i="12"/>
  <c r="Q65" i="12"/>
  <c r="R65" i="12"/>
  <c r="H65" i="12"/>
  <c r="F65" i="12"/>
  <c r="E65" i="12"/>
  <c r="I65" i="12"/>
  <c r="N65" i="12"/>
  <c r="E91" i="6"/>
  <c r="F91" i="6"/>
  <c r="G91" i="6"/>
  <c r="H91" i="6"/>
  <c r="P65" i="12"/>
  <c r="S91" i="6"/>
  <c r="O91" i="6"/>
  <c r="R91" i="6"/>
  <c r="P91" i="6"/>
  <c r="Q91" i="6"/>
  <c r="G794" i="1"/>
  <c r="B795" i="1"/>
  <c r="G795" i="1" s="1"/>
  <c r="K813" i="1"/>
  <c r="T813" i="1"/>
  <c r="V813" i="1"/>
  <c r="M813" i="1"/>
  <c r="N813" i="1"/>
  <c r="U813" i="1"/>
  <c r="L813" i="1"/>
  <c r="S813" i="1"/>
  <c r="U812" i="1"/>
  <c r="K812" i="1"/>
  <c r="S812" i="1"/>
  <c r="M812" i="1"/>
  <c r="V812" i="1"/>
  <c r="L812" i="1"/>
  <c r="T812" i="1"/>
  <c r="N812" i="1"/>
  <c r="K793" i="1"/>
  <c r="M793" i="1"/>
  <c r="L793" i="1"/>
  <c r="N793" i="1"/>
  <c r="U814" i="1"/>
  <c r="K814" i="1"/>
  <c r="S814" i="1"/>
  <c r="T814" i="1"/>
  <c r="M814" i="1"/>
  <c r="V814" i="1"/>
  <c r="N814" i="1"/>
  <c r="L814" i="1"/>
  <c r="M89" i="12"/>
  <c r="D89" i="12"/>
  <c r="N216" i="6"/>
  <c r="C216" i="6"/>
  <c r="D114" i="5"/>
  <c r="U764" i="1"/>
  <c r="T764" i="1"/>
  <c r="W764" i="1" s="1"/>
  <c r="P792" i="1"/>
  <c r="O792" i="1"/>
  <c r="F100" i="12"/>
  <c r="O100" i="12"/>
  <c r="N100" i="12"/>
  <c r="R100" i="12" s="1"/>
  <c r="E100" i="12"/>
  <c r="I100" i="12" s="1"/>
  <c r="F115" i="5"/>
  <c r="E115" i="5"/>
  <c r="I115" i="5" s="1"/>
  <c r="T774" i="1"/>
  <c r="W774" i="1" s="1"/>
  <c r="M97" i="12"/>
  <c r="D97" i="12"/>
  <c r="N224" i="6"/>
  <c r="C224" i="6"/>
  <c r="D124" i="5"/>
  <c r="U774" i="1"/>
  <c r="F114" i="5"/>
  <c r="E114" i="5"/>
  <c r="I114" i="5" s="1"/>
  <c r="P786" i="1"/>
  <c r="O786" i="1"/>
  <c r="D119" i="5"/>
  <c r="T769" i="1"/>
  <c r="W769" i="1" s="1"/>
  <c r="U769" i="1"/>
  <c r="Q811" i="1"/>
  <c r="P811" i="1"/>
  <c r="O93" i="12"/>
  <c r="F93" i="12"/>
  <c r="N93" i="12"/>
  <c r="R93" i="12" s="1"/>
  <c r="E93" i="12"/>
  <c r="I93" i="12" s="1"/>
  <c r="P808" i="1"/>
  <c r="Q808" i="1"/>
  <c r="E119" i="5"/>
  <c r="I119" i="5" s="1"/>
  <c r="F119" i="5"/>
  <c r="P790" i="1"/>
  <c r="O790" i="1"/>
  <c r="N88" i="12"/>
  <c r="R88" i="12" s="1"/>
  <c r="E88" i="12"/>
  <c r="I88" i="12" s="1"/>
  <c r="F88" i="12"/>
  <c r="O88" i="12"/>
  <c r="N219" i="6"/>
  <c r="C219" i="6"/>
  <c r="D117" i="5"/>
  <c r="U767" i="1"/>
  <c r="T767" i="1"/>
  <c r="W767" i="1" s="1"/>
  <c r="D92" i="12"/>
  <c r="M92" i="12"/>
  <c r="M96" i="12"/>
  <c r="D96" i="12"/>
  <c r="N223" i="6"/>
  <c r="C223" i="6"/>
  <c r="D123" i="5"/>
  <c r="U773" i="1"/>
  <c r="T773" i="1"/>
  <c r="W773" i="1" s="1"/>
  <c r="P226" i="6"/>
  <c r="E226" i="6"/>
  <c r="D226" i="6"/>
  <c r="H226" i="6" s="1"/>
  <c r="O226" i="6"/>
  <c r="S226" i="6" s="1"/>
  <c r="O95" i="12"/>
  <c r="F95" i="12"/>
  <c r="N95" i="12"/>
  <c r="R95" i="12" s="1"/>
  <c r="E95" i="12"/>
  <c r="I95" i="12" s="1"/>
  <c r="F124" i="5"/>
  <c r="E124" i="5"/>
  <c r="I124" i="5" s="1"/>
  <c r="P807" i="1"/>
  <c r="Q807" i="1"/>
  <c r="D217" i="6"/>
  <c r="H217" i="6" s="1"/>
  <c r="P217" i="6"/>
  <c r="E217" i="6"/>
  <c r="O217" i="6"/>
  <c r="S217" i="6" s="1"/>
  <c r="F117" i="5"/>
  <c r="E117" i="5"/>
  <c r="I117" i="5" s="1"/>
  <c r="O99" i="12"/>
  <c r="F99" i="12"/>
  <c r="N99" i="12"/>
  <c r="R99" i="12" s="1"/>
  <c r="E99" i="12"/>
  <c r="I99" i="12" s="1"/>
  <c r="F116" i="5"/>
  <c r="E116" i="5"/>
  <c r="I116" i="5" s="1"/>
  <c r="T768" i="1"/>
  <c r="W768" i="1" s="1"/>
  <c r="U768" i="1"/>
  <c r="M93" i="12"/>
  <c r="D93" i="12"/>
  <c r="N220" i="6"/>
  <c r="C220" i="6"/>
  <c r="D118" i="5"/>
  <c r="D88" i="12"/>
  <c r="N215" i="6"/>
  <c r="C215" i="6"/>
  <c r="D113" i="5"/>
  <c r="U763" i="1"/>
  <c r="M88" i="12"/>
  <c r="T763" i="1"/>
  <c r="W763" i="1" s="1"/>
  <c r="D216" i="6"/>
  <c r="H216" i="6" s="1"/>
  <c r="O216" i="6"/>
  <c r="S216" i="6" s="1"/>
  <c r="P216" i="6"/>
  <c r="E216" i="6"/>
  <c r="F123" i="5"/>
  <c r="E123" i="5"/>
  <c r="I123" i="5" s="1"/>
  <c r="P222" i="6"/>
  <c r="E222" i="6"/>
  <c r="D222" i="6"/>
  <c r="H222" i="6" s="1"/>
  <c r="O222" i="6"/>
  <c r="S222" i="6" s="1"/>
  <c r="D100" i="12"/>
  <c r="N227" i="6"/>
  <c r="C227" i="6"/>
  <c r="D127" i="5"/>
  <c r="U777" i="1"/>
  <c r="T777" i="1"/>
  <c r="W777" i="1" s="1"/>
  <c r="M100" i="12"/>
  <c r="P806" i="1"/>
  <c r="Q806" i="1"/>
  <c r="P791" i="1"/>
  <c r="O791" i="1"/>
  <c r="P804" i="1"/>
  <c r="Q804" i="1"/>
  <c r="O218" i="6"/>
  <c r="S218" i="6" s="1"/>
  <c r="D218" i="6"/>
  <c r="H218" i="6" s="1"/>
  <c r="P218" i="6"/>
  <c r="E218" i="6"/>
  <c r="F90" i="12"/>
  <c r="N90" i="12"/>
  <c r="R90" i="12" s="1"/>
  <c r="E90" i="12"/>
  <c r="I90" i="12" s="1"/>
  <c r="O90" i="12"/>
  <c r="F126" i="5"/>
  <c r="E126" i="5"/>
  <c r="I126" i="5" s="1"/>
  <c r="F118" i="5"/>
  <c r="E118" i="5"/>
  <c r="I118" i="5" s="1"/>
  <c r="P789" i="1"/>
  <c r="O789" i="1"/>
  <c r="P810" i="1"/>
  <c r="Q810" i="1"/>
  <c r="O224" i="6"/>
  <c r="S224" i="6" s="1"/>
  <c r="D224" i="6"/>
  <c r="H224" i="6" s="1"/>
  <c r="P224" i="6"/>
  <c r="E224" i="6"/>
  <c r="P215" i="6"/>
  <c r="D215" i="6"/>
  <c r="H215" i="6" s="1"/>
  <c r="E215" i="6"/>
  <c r="O215" i="6"/>
  <c r="S215" i="6" s="1"/>
  <c r="E89" i="12"/>
  <c r="I89" i="12" s="1"/>
  <c r="O89" i="12"/>
  <c r="F89" i="12"/>
  <c r="N89" i="12"/>
  <c r="R89" i="12" s="1"/>
  <c r="E219" i="6"/>
  <c r="O219" i="6"/>
  <c r="S219" i="6" s="1"/>
  <c r="D219" i="6"/>
  <c r="H219" i="6" s="1"/>
  <c r="P219" i="6"/>
  <c r="P785" i="1"/>
  <c r="O785" i="1"/>
  <c r="D99" i="12"/>
  <c r="N226" i="6"/>
  <c r="C226" i="6"/>
  <c r="D126" i="5"/>
  <c r="M99" i="12"/>
  <c r="U776" i="1"/>
  <c r="T776" i="1"/>
  <c r="W776" i="1" s="1"/>
  <c r="D95" i="12"/>
  <c r="N222" i="6"/>
  <c r="C222" i="6"/>
  <c r="M95" i="12"/>
  <c r="D122" i="5"/>
  <c r="U772" i="1"/>
  <c r="T772" i="1"/>
  <c r="W772" i="1" s="1"/>
  <c r="F127" i="5"/>
  <c r="E127" i="5"/>
  <c r="I127" i="5" s="1"/>
  <c r="E91" i="12"/>
  <c r="I91" i="12" s="1"/>
  <c r="O91" i="12"/>
  <c r="F91" i="12"/>
  <c r="N91" i="12"/>
  <c r="R91" i="12" s="1"/>
  <c r="E97" i="12"/>
  <c r="I97" i="12" s="1"/>
  <c r="N97" i="12"/>
  <c r="R97" i="12" s="1"/>
  <c r="O97" i="12"/>
  <c r="F97" i="12"/>
  <c r="F113" i="5"/>
  <c r="E113" i="5"/>
  <c r="I113" i="5" s="1"/>
  <c r="E92" i="12"/>
  <c r="I92" i="12" s="1"/>
  <c r="N92" i="12"/>
  <c r="R92" i="12" s="1"/>
  <c r="O92" i="12"/>
  <c r="F92" i="12"/>
  <c r="Q809" i="1"/>
  <c r="P809" i="1"/>
  <c r="D223" i="6"/>
  <c r="H223" i="6" s="1"/>
  <c r="P223" i="6"/>
  <c r="E223" i="6"/>
  <c r="O223" i="6"/>
  <c r="S223" i="6" s="1"/>
  <c r="P788" i="1"/>
  <c r="O788" i="1"/>
  <c r="F122" i="5"/>
  <c r="E122" i="5"/>
  <c r="I122" i="5" s="1"/>
  <c r="P787" i="1"/>
  <c r="O787" i="1"/>
  <c r="O220" i="6"/>
  <c r="S220" i="6" s="1"/>
  <c r="D220" i="6"/>
  <c r="H220" i="6" s="1"/>
  <c r="P220" i="6"/>
  <c r="E220" i="6"/>
  <c r="M90" i="12"/>
  <c r="D90" i="12"/>
  <c r="N217" i="6"/>
  <c r="C217" i="6"/>
  <c r="D115" i="5"/>
  <c r="U765" i="1"/>
  <c r="T765" i="1"/>
  <c r="W765" i="1" s="1"/>
  <c r="E96" i="12"/>
  <c r="I96" i="12" s="1"/>
  <c r="O96" i="12"/>
  <c r="N96" i="12"/>
  <c r="R96" i="12" s="1"/>
  <c r="F96" i="12"/>
  <c r="P227" i="6"/>
  <c r="D227" i="6"/>
  <c r="H227" i="6" s="1"/>
  <c r="E227" i="6"/>
  <c r="O227" i="6"/>
  <c r="S227" i="6" s="1"/>
  <c r="P805" i="1"/>
  <c r="Q805" i="1"/>
  <c r="D116" i="5"/>
  <c r="U766" i="1"/>
  <c r="T766" i="1"/>
  <c r="W766" i="1" s="1"/>
  <c r="M91" i="12"/>
  <c r="D91" i="12"/>
  <c r="C218" i="6"/>
  <c r="N218" i="6"/>
  <c r="Q356" i="4"/>
  <c r="P356" i="4"/>
  <c r="P357" i="4"/>
  <c r="Q357" i="4"/>
  <c r="S938" i="1"/>
  <c r="R938" i="1"/>
  <c r="P938" i="1"/>
  <c r="T938" i="1"/>
  <c r="Q938" i="1"/>
  <c r="I917" i="1"/>
  <c r="D939" i="1" s="1"/>
  <c r="E939" i="1" s="1"/>
  <c r="H918" i="1"/>
  <c r="H919" i="1" s="1"/>
  <c r="F877" i="1"/>
  <c r="F878" i="1" s="1"/>
  <c r="G876" i="1"/>
  <c r="B942" i="1" s="1"/>
  <c r="H920" i="1" l="1"/>
  <c r="I920" i="1" s="1"/>
  <c r="I919" i="1"/>
  <c r="D941" i="1" s="1"/>
  <c r="E941" i="1" s="1"/>
  <c r="F879" i="1"/>
  <c r="F880" i="1" s="1"/>
  <c r="F881" i="1" s="1"/>
  <c r="G878" i="1"/>
  <c r="B944" i="1" s="1"/>
  <c r="P814" i="1"/>
  <c r="Q814" i="1"/>
  <c r="P812" i="1"/>
  <c r="Q812" i="1"/>
  <c r="O793" i="1"/>
  <c r="P793" i="1"/>
  <c r="Q813" i="1"/>
  <c r="P813" i="1"/>
  <c r="K795" i="1"/>
  <c r="L795" i="1"/>
  <c r="M795" i="1"/>
  <c r="N795" i="1"/>
  <c r="L794" i="1"/>
  <c r="N794" i="1"/>
  <c r="M794" i="1"/>
  <c r="K794" i="1"/>
  <c r="G218" i="6"/>
  <c r="Q218" i="6"/>
  <c r="T218" i="6" s="1"/>
  <c r="F218" i="6"/>
  <c r="I218" i="6" s="1"/>
  <c r="R218" i="6"/>
  <c r="H127" i="5"/>
  <c r="G127" i="5"/>
  <c r="J127" i="5" s="1"/>
  <c r="Q93" i="12"/>
  <c r="H93" i="12"/>
  <c r="P93" i="12"/>
  <c r="S93" i="12" s="1"/>
  <c r="G93" i="12"/>
  <c r="J93" i="12" s="1"/>
  <c r="R219" i="6"/>
  <c r="Q219" i="6"/>
  <c r="T219" i="6" s="1"/>
  <c r="F219" i="6"/>
  <c r="I219" i="6" s="1"/>
  <c r="G219" i="6"/>
  <c r="G122" i="5"/>
  <c r="J122" i="5" s="1"/>
  <c r="H122" i="5"/>
  <c r="H126" i="5"/>
  <c r="G126" i="5"/>
  <c r="J126" i="5" s="1"/>
  <c r="Q227" i="6"/>
  <c r="T227" i="6" s="1"/>
  <c r="G227" i="6"/>
  <c r="F227" i="6"/>
  <c r="I227" i="6" s="1"/>
  <c r="R227" i="6"/>
  <c r="H113" i="5"/>
  <c r="G113" i="5"/>
  <c r="J113" i="5" s="1"/>
  <c r="Q96" i="12"/>
  <c r="H96" i="12"/>
  <c r="P96" i="12"/>
  <c r="S96" i="12" s="1"/>
  <c r="G96" i="12"/>
  <c r="J96" i="12" s="1"/>
  <c r="G226" i="6"/>
  <c r="F226" i="6"/>
  <c r="I226" i="6" s="1"/>
  <c r="R226" i="6"/>
  <c r="Q226" i="6"/>
  <c r="T226" i="6" s="1"/>
  <c r="G215" i="6"/>
  <c r="F215" i="6"/>
  <c r="I215" i="6" s="1"/>
  <c r="R215" i="6"/>
  <c r="Q215" i="6"/>
  <c r="T215" i="6" s="1"/>
  <c r="H124" i="5"/>
  <c r="G124" i="5"/>
  <c r="J124" i="5" s="1"/>
  <c r="H114" i="5"/>
  <c r="G114" i="5"/>
  <c r="J114" i="5" s="1"/>
  <c r="Q223" i="6"/>
  <c r="T223" i="6" s="1"/>
  <c r="G223" i="6"/>
  <c r="F223" i="6"/>
  <c r="I223" i="6" s="1"/>
  <c r="R223" i="6"/>
  <c r="G217" i="6"/>
  <c r="F217" i="6"/>
  <c r="I217" i="6" s="1"/>
  <c r="Q217" i="6"/>
  <c r="T217" i="6" s="1"/>
  <c r="R217" i="6"/>
  <c r="G222" i="6"/>
  <c r="R222" i="6"/>
  <c r="F222" i="6"/>
  <c r="I222" i="6" s="1"/>
  <c r="Q222" i="6"/>
  <c r="T222" i="6" s="1"/>
  <c r="P100" i="12"/>
  <c r="S100" i="12" s="1"/>
  <c r="G100" i="12"/>
  <c r="J100" i="12" s="1"/>
  <c r="H100" i="12"/>
  <c r="Q100" i="12"/>
  <c r="G224" i="6"/>
  <c r="Q224" i="6"/>
  <c r="T224" i="6" s="1"/>
  <c r="F224" i="6"/>
  <c r="I224" i="6" s="1"/>
  <c r="R224" i="6"/>
  <c r="R216" i="6"/>
  <c r="Q216" i="6"/>
  <c r="T216" i="6" s="1"/>
  <c r="F216" i="6"/>
  <c r="I216" i="6" s="1"/>
  <c r="G216" i="6"/>
  <c r="H117" i="5"/>
  <c r="G117" i="5"/>
  <c r="J117" i="5" s="1"/>
  <c r="G91" i="12"/>
  <c r="J91" i="12" s="1"/>
  <c r="Q91" i="12"/>
  <c r="H91" i="12"/>
  <c r="P91" i="12"/>
  <c r="S91" i="12" s="1"/>
  <c r="H115" i="5"/>
  <c r="G115" i="5"/>
  <c r="J115" i="5" s="1"/>
  <c r="Q99" i="12"/>
  <c r="H99" i="12"/>
  <c r="P99" i="12"/>
  <c r="S99" i="12" s="1"/>
  <c r="G99" i="12"/>
  <c r="J99" i="12" s="1"/>
  <c r="P88" i="12"/>
  <c r="S88" i="12" s="1"/>
  <c r="G88" i="12"/>
  <c r="J88" i="12" s="1"/>
  <c r="H88" i="12"/>
  <c r="Q88" i="12"/>
  <c r="Q92" i="12"/>
  <c r="H92" i="12"/>
  <c r="P92" i="12"/>
  <c r="S92" i="12" s="1"/>
  <c r="G92" i="12"/>
  <c r="J92" i="12" s="1"/>
  <c r="G119" i="5"/>
  <c r="J119" i="5" s="1"/>
  <c r="H119" i="5"/>
  <c r="H116" i="5"/>
  <c r="G116" i="5"/>
  <c r="J116" i="5" s="1"/>
  <c r="Q90" i="12"/>
  <c r="H90" i="12"/>
  <c r="P90" i="12"/>
  <c r="S90" i="12" s="1"/>
  <c r="G90" i="12"/>
  <c r="J90" i="12" s="1"/>
  <c r="P95" i="12"/>
  <c r="S95" i="12" s="1"/>
  <c r="G95" i="12"/>
  <c r="J95" i="12" s="1"/>
  <c r="H95" i="12"/>
  <c r="Q95" i="12"/>
  <c r="H118" i="5"/>
  <c r="G118" i="5"/>
  <c r="J118" i="5" s="1"/>
  <c r="Q97" i="12"/>
  <c r="H97" i="12"/>
  <c r="P97" i="12"/>
  <c r="S97" i="12" s="1"/>
  <c r="G97" i="12"/>
  <c r="J97" i="12" s="1"/>
  <c r="Q89" i="12"/>
  <c r="H89" i="12"/>
  <c r="P89" i="12"/>
  <c r="S89" i="12" s="1"/>
  <c r="G89" i="12"/>
  <c r="J89" i="12" s="1"/>
  <c r="G220" i="6"/>
  <c r="F220" i="6"/>
  <c r="I220" i="6" s="1"/>
  <c r="R220" i="6"/>
  <c r="Q220" i="6"/>
  <c r="T220" i="6" s="1"/>
  <c r="H123" i="5"/>
  <c r="G123" i="5"/>
  <c r="J123" i="5" s="1"/>
  <c r="P939" i="1"/>
  <c r="Q939" i="1"/>
  <c r="S939" i="1"/>
  <c r="R939" i="1"/>
  <c r="T939" i="1"/>
  <c r="G877" i="1"/>
  <c r="B943" i="1" s="1"/>
  <c r="I918" i="1"/>
  <c r="D940" i="1" s="1"/>
  <c r="E940" i="1" s="1"/>
  <c r="F882" i="1" l="1"/>
  <c r="F883" i="1" s="1"/>
  <c r="G881" i="1"/>
  <c r="B947" i="1" s="1"/>
  <c r="O794" i="1"/>
  <c r="P794" i="1"/>
  <c r="P795" i="1"/>
  <c r="O795" i="1"/>
  <c r="P940" i="1"/>
  <c r="R940" i="1"/>
  <c r="S940" i="1"/>
  <c r="Q940" i="1"/>
  <c r="T940" i="1"/>
  <c r="H921" i="1"/>
  <c r="H922" i="1" s="1"/>
  <c r="D942" i="1"/>
  <c r="G879" i="1"/>
  <c r="B945" i="1" s="1"/>
  <c r="H923" i="1" l="1"/>
  <c r="I922" i="1"/>
  <c r="D944" i="1" s="1"/>
  <c r="E944" i="1" s="1"/>
  <c r="F884" i="1"/>
  <c r="G883" i="1"/>
  <c r="B949" i="1" s="1"/>
  <c r="I921" i="1"/>
  <c r="D943" i="1" s="1"/>
  <c r="G880" i="1"/>
  <c r="B946" i="1" s="1"/>
  <c r="Q942" i="1"/>
  <c r="T942" i="1"/>
  <c r="S942" i="1"/>
  <c r="P942" i="1"/>
  <c r="E942" i="1"/>
  <c r="R942" i="1"/>
  <c r="H924" i="1" l="1"/>
  <c r="I923" i="1"/>
  <c r="G884" i="1"/>
  <c r="B950" i="1" s="1"/>
  <c r="G882" i="1"/>
  <c r="B948" i="1" s="1"/>
  <c r="D945" i="1"/>
  <c r="P943" i="1"/>
  <c r="R943" i="1"/>
  <c r="E943" i="1"/>
  <c r="S943" i="1"/>
  <c r="T943" i="1"/>
  <c r="Q943" i="1"/>
  <c r="H925" i="1" l="1"/>
  <c r="I924" i="1"/>
  <c r="D946" i="1" s="1"/>
  <c r="P945" i="1"/>
  <c r="E945" i="1"/>
  <c r="Q945" i="1"/>
  <c r="T945" i="1"/>
  <c r="S945" i="1"/>
  <c r="R945" i="1"/>
  <c r="H926" i="1" l="1"/>
  <c r="I925" i="1"/>
  <c r="D947" i="1" s="1"/>
  <c r="E947" i="1" s="1"/>
  <c r="S946" i="1"/>
  <c r="T946" i="1"/>
  <c r="R946" i="1"/>
  <c r="Q946" i="1"/>
  <c r="P946" i="1"/>
  <c r="E946" i="1"/>
  <c r="H927" i="1" l="1"/>
  <c r="I926" i="1"/>
  <c r="D948" i="1" s="1"/>
  <c r="R948" i="1" s="1"/>
  <c r="G5" i="5"/>
  <c r="E55" i="3"/>
  <c r="F55" i="3" s="1"/>
  <c r="L55" i="3" s="1"/>
  <c r="F56" i="3"/>
  <c r="L56" i="3" s="1"/>
  <c r="Q948" i="1" l="1"/>
  <c r="P948" i="1"/>
  <c r="E948" i="1"/>
  <c r="S948" i="1"/>
  <c r="T948" i="1"/>
  <c r="H928" i="1"/>
  <c r="I928" i="1" s="1"/>
  <c r="D950" i="1" s="1"/>
  <c r="I927" i="1"/>
  <c r="D949" i="1" s="1"/>
  <c r="E949" i="1" s="1"/>
  <c r="M55" i="3"/>
  <c r="B101" i="3" s="1"/>
  <c r="R950" i="1" l="1"/>
  <c r="E950" i="1"/>
  <c r="P950" i="1"/>
  <c r="T950" i="1"/>
  <c r="Q950" i="1"/>
  <c r="S950" i="1"/>
  <c r="Q101" i="3"/>
  <c r="S101" i="3"/>
  <c r="R101" i="3"/>
  <c r="V101" i="3"/>
  <c r="T101" i="3"/>
  <c r="U101" i="3"/>
  <c r="F10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Blaß &amp; Eberhart</author>
  </authors>
  <commentList>
    <comment ref="D5" authorId="0" shapeId="0" xr:uid="{00000000-0006-0000-0000-000001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K7" authorId="0" shapeId="0" xr:uid="{00000000-0006-0000-0000-000002000000}">
      <text>
        <r>
          <rPr>
            <b/>
            <sz val="9"/>
            <color indexed="81"/>
            <rFont val="Tahoma"/>
            <family val="2"/>
          </rPr>
          <t>Blaß &amp; Eberhart:</t>
        </r>
        <r>
          <rPr>
            <sz val="9"/>
            <color indexed="81"/>
            <rFont val="Tahoma"/>
            <family val="2"/>
          </rPr>
          <t xml:space="preserve">
An die Zulassungen der Schmid Schrauben angepasst.</t>
        </r>
      </text>
    </comment>
    <comment ref="L7" authorId="0" shapeId="0" xr:uid="{00000000-0006-0000-0000-000003000000}">
      <text>
        <r>
          <rPr>
            <b/>
            <sz val="9"/>
            <color indexed="81"/>
            <rFont val="Tahoma"/>
            <family val="2"/>
          </rPr>
          <t>Blaß &amp; Eberhart:</t>
        </r>
        <r>
          <rPr>
            <sz val="9"/>
            <color indexed="81"/>
            <rFont val="Tahoma"/>
            <family val="2"/>
          </rPr>
          <t xml:space="preserve">
Unterschiedliche Teilsicherheitsbeiwerte und kmod berücksichtigen.</t>
        </r>
      </text>
    </comment>
    <comment ref="D18" authorId="0" shapeId="0" xr:uid="{00000000-0006-0000-0000-000004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D41" authorId="0" shapeId="0" xr:uid="{00000000-0006-0000-0000-000005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D58" authorId="0" shapeId="0" xr:uid="{8B73285E-03ED-465B-9121-CE32A638BC0A}">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G77" authorId="0" shapeId="0" xr:uid="{00000000-0006-0000-0000-000006000000}">
      <text>
        <r>
          <rPr>
            <b/>
            <sz val="9"/>
            <color indexed="81"/>
            <rFont val="Tahoma"/>
            <family val="2"/>
          </rPr>
          <t>Blaß &amp; Eberhart:</t>
        </r>
        <r>
          <rPr>
            <sz val="9"/>
            <color indexed="81"/>
            <rFont val="Tahoma"/>
            <family val="2"/>
          </rPr>
          <t xml:space="preserve">
Aus Zulassung Z-9.1-435</t>
        </r>
      </text>
    </comment>
    <comment ref="J77" authorId="0" shapeId="0" xr:uid="{00000000-0006-0000-0000-000007000000}">
      <text>
        <r>
          <rPr>
            <b/>
            <sz val="9"/>
            <color indexed="81"/>
            <rFont val="Tahoma"/>
            <family val="2"/>
          </rPr>
          <t>Blaß &amp; Eberhart:</t>
        </r>
        <r>
          <rPr>
            <sz val="9"/>
            <color indexed="81"/>
            <rFont val="Tahoma"/>
            <family val="2"/>
          </rPr>
          <t xml:space="preserve">
Bemerkung im Statik-Flyer anfügen, dass die CS-Schraube nicht ins Hirnholz eingedreht werden kann. Nur Einschraubwinkel von 90° sind zulässig.</t>
        </r>
      </text>
    </comment>
    <comment ref="K77" authorId="0" shapeId="0" xr:uid="{00000000-0006-0000-0000-000008000000}">
      <text>
        <r>
          <rPr>
            <b/>
            <sz val="9"/>
            <color indexed="81"/>
            <rFont val="Tahoma"/>
            <family val="2"/>
          </rPr>
          <t>Blaß &amp; Eberhart:</t>
        </r>
        <r>
          <rPr>
            <sz val="9"/>
            <color indexed="81"/>
            <rFont val="Tahoma"/>
            <family val="2"/>
          </rPr>
          <t xml:space="preserve">
Unterschiedliche Teilsicherheitsbeiwerte und unterschiedliche  kmod sollten berücksichtigt werden</t>
        </r>
      </text>
    </comment>
    <comment ref="E82" authorId="0" shapeId="0" xr:uid="{00000000-0006-0000-0000-000009000000}">
      <text>
        <r>
          <rPr>
            <b/>
            <sz val="9"/>
            <color indexed="81"/>
            <rFont val="Tahoma"/>
            <family val="2"/>
          </rPr>
          <t>Blaß &amp; Eberhart:</t>
        </r>
        <r>
          <rPr>
            <sz val="9"/>
            <color indexed="81"/>
            <rFont val="Tahoma"/>
            <family val="2"/>
          </rPr>
          <t xml:space="preserve">
Gewindelänge der TG- Schraube ist nur 50 mm</t>
        </r>
      </text>
    </comment>
    <comment ref="E87" authorId="0" shapeId="0" xr:uid="{00000000-0006-0000-0000-00000A000000}">
      <text>
        <r>
          <rPr>
            <b/>
            <sz val="9"/>
            <color indexed="81"/>
            <rFont val="Tahoma"/>
            <family val="2"/>
          </rPr>
          <t>Blaß &amp; Eberhart:</t>
        </r>
        <r>
          <rPr>
            <sz val="9"/>
            <color indexed="81"/>
            <rFont val="Tahoma"/>
            <family val="2"/>
          </rPr>
          <t xml:space="preserve">
Gewindelänge der TG- Schraube ist nur 50 mm</t>
        </r>
      </text>
    </comment>
    <comment ref="B98" authorId="0" shapeId="0" xr:uid="{00000000-0006-0000-0000-00000B000000}">
      <text>
        <r>
          <rPr>
            <b/>
            <sz val="9"/>
            <color indexed="81"/>
            <rFont val="Tahoma"/>
            <family val="2"/>
          </rPr>
          <t>Blaß &amp; Eberhart:</t>
        </r>
        <r>
          <rPr>
            <sz val="9"/>
            <color indexed="81"/>
            <rFont val="Tahoma"/>
            <family val="2"/>
          </rPr>
          <t xml:space="preserve">
Wert aus der Schmid Zulassung Z-9.1-435</t>
        </r>
      </text>
    </comment>
    <comment ref="D105" authorId="0" shapeId="0" xr:uid="{00000000-0006-0000-0000-00000C000000}">
      <text>
        <r>
          <rPr>
            <b/>
            <sz val="9"/>
            <color indexed="81"/>
            <rFont val="Tahoma"/>
            <family val="2"/>
          </rPr>
          <t>Blaß &amp; Eberhart:</t>
        </r>
        <r>
          <rPr>
            <sz val="9"/>
            <color indexed="81"/>
            <rFont val="Tahoma"/>
            <family val="2"/>
          </rPr>
          <t xml:space="preserve">
Tatsächliche Gewindelänge der TG-Schraube ansetzen</t>
        </r>
      </text>
    </comment>
    <comment ref="F122" authorId="0" shapeId="0" xr:uid="{00000000-0006-0000-0000-00000D000000}">
      <text>
        <r>
          <rPr>
            <b/>
            <sz val="9"/>
            <color indexed="81"/>
            <rFont val="Tahoma"/>
            <family val="2"/>
          </rPr>
          <t>Blaß &amp; Eberhart:</t>
        </r>
        <r>
          <rPr>
            <sz val="9"/>
            <color indexed="81"/>
            <rFont val="Tahoma"/>
            <family val="2"/>
          </rPr>
          <t xml:space="preserve">
Gemäß ETA in 1,2,2,2,2,1 (Seite 11)</t>
        </r>
      </text>
    </comment>
    <comment ref="F127" authorId="0" shapeId="0" xr:uid="{00000000-0006-0000-0000-00000E000000}">
      <text>
        <r>
          <rPr>
            <b/>
            <sz val="9"/>
            <color indexed="81"/>
            <rFont val="Tahoma"/>
            <family val="2"/>
          </rPr>
          <t>Blaß &amp; Eberhart:</t>
        </r>
        <r>
          <rPr>
            <sz val="9"/>
            <color indexed="81"/>
            <rFont val="Tahoma"/>
            <family val="2"/>
          </rPr>
          <t xml:space="preserve">
kmod und Teilsicherheitsbeiwerte sind unterschiedlich, daher Min-Wert mit Bemessungswerten ermitteln
</t>
        </r>
      </text>
    </comment>
    <comment ref="D131" authorId="0" shapeId="0" xr:uid="{00000000-0006-0000-0000-00000F000000}">
      <text>
        <r>
          <rPr>
            <b/>
            <sz val="9"/>
            <color indexed="81"/>
            <rFont val="Tahoma"/>
            <family val="2"/>
          </rPr>
          <t>Blaß &amp; Eberhart:</t>
        </r>
        <r>
          <rPr>
            <sz val="9"/>
            <color indexed="81"/>
            <rFont val="Tahoma"/>
            <family val="2"/>
          </rPr>
          <t xml:space="preserve">
ohne clip lock</t>
        </r>
      </text>
    </comment>
    <comment ref="C142" authorId="0" shapeId="0" xr:uid="{00000000-0006-0000-0000-000010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E150" authorId="0" shapeId="0" xr:uid="{00000000-0006-0000-0000-000011000000}">
      <text>
        <r>
          <rPr>
            <b/>
            <sz val="9"/>
            <color indexed="81"/>
            <rFont val="Tahoma"/>
            <family val="2"/>
          </rPr>
          <t>Blaß &amp; Eberhart:</t>
        </r>
        <r>
          <rPr>
            <sz val="9"/>
            <color indexed="81"/>
            <rFont val="Tahoma"/>
            <family val="2"/>
          </rPr>
          <t xml:space="preserve">
Tatsächliche Gewindelänge der TG-Schraube ansetzen</t>
        </r>
      </text>
    </comment>
    <comment ref="J150" authorId="0" shapeId="0" xr:uid="{00000000-0006-0000-0000-000012000000}">
      <text>
        <r>
          <rPr>
            <b/>
            <sz val="9"/>
            <color indexed="81"/>
            <rFont val="Tahoma"/>
            <family val="2"/>
          </rPr>
          <t>Blaß &amp; Eberhart:</t>
        </r>
        <r>
          <rPr>
            <sz val="9"/>
            <color indexed="81"/>
            <rFont val="Tahoma"/>
            <family val="2"/>
          </rPr>
          <t xml:space="preserve">
Gewindelänge der TG-Schraube ansetzen.</t>
        </r>
      </text>
    </comment>
    <comment ref="E190" authorId="0" shapeId="0" xr:uid="{00000000-0006-0000-0000-000013000000}">
      <text>
        <r>
          <rPr>
            <b/>
            <sz val="9"/>
            <color indexed="81"/>
            <rFont val="Tahoma"/>
            <family val="2"/>
          </rPr>
          <t>Blaß &amp; Eberhart:</t>
        </r>
        <r>
          <rPr>
            <sz val="9"/>
            <color indexed="81"/>
            <rFont val="Tahoma"/>
            <family val="2"/>
          </rPr>
          <t xml:space="preserve">
Falsche Zugtragfähigkeit angesetzt.</t>
        </r>
      </text>
    </comment>
    <comment ref="F190" authorId="0" shapeId="0" xr:uid="{00000000-0006-0000-0000-000014000000}">
      <text>
        <r>
          <rPr>
            <b/>
            <sz val="9"/>
            <color indexed="81"/>
            <rFont val="Tahoma"/>
            <family val="2"/>
          </rPr>
          <t>Blaß &amp; Eberhart:</t>
        </r>
        <r>
          <rPr>
            <sz val="9"/>
            <color indexed="81"/>
            <rFont val="Tahoma"/>
            <family val="2"/>
          </rPr>
          <t xml:space="preserve">
Min-Werte mit Bemessungswerten ermitteln.</t>
        </r>
      </text>
    </comment>
    <comment ref="C211" authorId="0" shapeId="0" xr:uid="{00000000-0006-0000-0000-000015000000}">
      <text>
        <r>
          <rPr>
            <b/>
            <sz val="9"/>
            <color indexed="81"/>
            <rFont val="Tahoma"/>
            <family val="2"/>
          </rPr>
          <t>Blaß &amp; Eberhart:</t>
        </r>
        <r>
          <rPr>
            <sz val="9"/>
            <color indexed="81"/>
            <rFont val="Tahoma"/>
            <family val="2"/>
          </rPr>
          <t xml:space="preserve">
My nach Schmid Zulassung Z-9.1-656</t>
        </r>
      </text>
    </comment>
    <comment ref="E265" authorId="0" shapeId="0" xr:uid="{00000000-0006-0000-0000-000016000000}">
      <text>
        <r>
          <rPr>
            <b/>
            <sz val="9"/>
            <color indexed="81"/>
            <rFont val="Tahoma"/>
            <family val="2"/>
          </rPr>
          <t>Blaß &amp; Eberhart:</t>
        </r>
        <r>
          <rPr>
            <sz val="9"/>
            <color indexed="81"/>
            <rFont val="Tahoma"/>
            <family val="2"/>
          </rPr>
          <t xml:space="preserve">
falsche axiale Tragfähigkeit angesetzt.</t>
        </r>
      </text>
    </comment>
    <comment ref="F265" authorId="0" shapeId="0" xr:uid="{00000000-0006-0000-0000-000017000000}">
      <text>
        <r>
          <rPr>
            <b/>
            <sz val="9"/>
            <color indexed="81"/>
            <rFont val="Tahoma"/>
            <family val="2"/>
          </rPr>
          <t>Blaß &amp; Eberhart:</t>
        </r>
        <r>
          <rPr>
            <sz val="9"/>
            <color indexed="81"/>
            <rFont val="Tahoma"/>
            <family val="2"/>
          </rPr>
          <t xml:space="preserve">
Bemessungswerte berücksichtigen wegen kmod und Teilsicherheitsbeiwerten.</t>
        </r>
      </text>
    </comment>
    <comment ref="C289" authorId="0" shapeId="0" xr:uid="{00000000-0006-0000-0000-000018000000}">
      <text>
        <r>
          <rPr>
            <b/>
            <sz val="9"/>
            <color indexed="81"/>
            <rFont val="Tahoma"/>
            <family val="2"/>
          </rPr>
          <t>Blaß &amp; Eberhart:</t>
        </r>
        <r>
          <rPr>
            <sz val="9"/>
            <color indexed="81"/>
            <rFont val="Tahoma"/>
            <family val="2"/>
          </rPr>
          <t xml:space="preserve">
My nach Schmid Zulassung Z-9.1-656</t>
        </r>
      </text>
    </comment>
    <comment ref="E338" authorId="0" shapeId="0" xr:uid="{00000000-0006-0000-0000-000019000000}">
      <text>
        <r>
          <rPr>
            <b/>
            <sz val="9"/>
            <color indexed="81"/>
            <rFont val="Tahoma"/>
            <family val="2"/>
          </rPr>
          <t>Blaß &amp; Eberhart:</t>
        </r>
        <r>
          <rPr>
            <sz val="9"/>
            <color indexed="81"/>
            <rFont val="Tahoma"/>
            <family val="2"/>
          </rPr>
          <t xml:space="preserve">
falsche axiale Tragfähigkeit angesetzt.</t>
        </r>
      </text>
    </comment>
    <comment ref="F338" authorId="0" shapeId="0" xr:uid="{00000000-0006-0000-0000-00001A000000}">
      <text>
        <r>
          <rPr>
            <b/>
            <sz val="9"/>
            <color indexed="81"/>
            <rFont val="Tahoma"/>
            <family val="2"/>
          </rPr>
          <t>Blaß &amp; Eberhart:</t>
        </r>
        <r>
          <rPr>
            <sz val="9"/>
            <color indexed="81"/>
            <rFont val="Tahoma"/>
            <family val="2"/>
          </rPr>
          <t xml:space="preserve">
Bemessungswerte berücksichtigen wegen kmod und Teilsicherheitsbeiwerten.</t>
        </r>
      </text>
    </comment>
    <comment ref="E364" authorId="0" shapeId="0" xr:uid="{00000000-0006-0000-0000-00001B000000}">
      <text>
        <r>
          <rPr>
            <b/>
            <sz val="9"/>
            <color indexed="81"/>
            <rFont val="Tahoma"/>
            <family val="2"/>
          </rPr>
          <t>Blaß &amp; Eberhart:</t>
        </r>
        <r>
          <rPr>
            <sz val="9"/>
            <color indexed="81"/>
            <rFont val="Tahoma"/>
            <family val="2"/>
          </rPr>
          <t xml:space="preserve">
fh wurde um 1,35+0,015*d abgemindert, da auch Winkel von 90° möglich sind.
Zusätzlich erwähnen, dass kein Eindrehen ins Hirnholz möglich ist.</t>
        </r>
      </text>
    </comment>
    <comment ref="E368" authorId="0" shapeId="0" xr:uid="{00000000-0006-0000-0000-00001C000000}">
      <text>
        <r>
          <rPr>
            <b/>
            <sz val="9"/>
            <color indexed="81"/>
            <rFont val="Tahoma"/>
            <family val="2"/>
          </rPr>
          <t>Blaß &amp; Eberhart:</t>
        </r>
        <r>
          <rPr>
            <sz val="9"/>
            <color indexed="81"/>
            <rFont val="Tahoma"/>
            <family val="2"/>
          </rPr>
          <t xml:space="preserve">
fh wurde um 1,35+0,015*d abgemindert, da auch Winkel von 90° möglich sind.
Zusätzlich erwähnen, dass kein Eindrehen ins Hirnholz möglich ist.</t>
        </r>
      </text>
    </comment>
    <comment ref="F394" authorId="0" shapeId="0" xr:uid="{00000000-0006-0000-0000-00001D000000}">
      <text>
        <r>
          <rPr>
            <b/>
            <sz val="9"/>
            <color indexed="81"/>
            <rFont val="Tahoma"/>
            <family val="2"/>
          </rPr>
          <t>Blaß &amp; Eberhart:</t>
        </r>
        <r>
          <rPr>
            <sz val="9"/>
            <color indexed="81"/>
            <rFont val="Tahoma"/>
            <family val="2"/>
          </rPr>
          <t xml:space="preserve">
Bemessungswerte berücksichtigen!</t>
        </r>
      </text>
    </comment>
    <comment ref="F398" authorId="0" shapeId="0" xr:uid="{00000000-0006-0000-0000-00001E000000}">
      <text>
        <r>
          <rPr>
            <b/>
            <sz val="9"/>
            <color indexed="81"/>
            <rFont val="Tahoma"/>
            <family val="2"/>
          </rPr>
          <t>Blaß &amp; Eberhart:</t>
        </r>
        <r>
          <rPr>
            <sz val="9"/>
            <color indexed="81"/>
            <rFont val="Tahoma"/>
            <family val="2"/>
          </rPr>
          <t xml:space="preserve">
Bemessungswerte berücksichtigen!</t>
        </r>
      </text>
    </comment>
    <comment ref="A416" authorId="0" shapeId="0" xr:uid="{00000000-0006-0000-0000-00001F000000}">
      <text>
        <r>
          <rPr>
            <b/>
            <sz val="9"/>
            <color indexed="81"/>
            <rFont val="Tahoma"/>
            <family val="2"/>
          </rPr>
          <t>Blaß &amp; Eberhart:</t>
        </r>
        <r>
          <rPr>
            <sz val="9"/>
            <color indexed="81"/>
            <rFont val="Tahoma"/>
            <family val="2"/>
          </rPr>
          <t xml:space="preserve">
Im Flyer anmerken, dass diese Lastrichtung nur mit einem "clip lock" möglich ist.</t>
        </r>
      </text>
    </comment>
    <comment ref="A452" authorId="0" shapeId="0" xr:uid="{00000000-0006-0000-0000-000020000000}">
      <text>
        <r>
          <rPr>
            <b/>
            <sz val="9"/>
            <color indexed="81"/>
            <rFont val="Tahoma"/>
            <family val="2"/>
          </rPr>
          <t>Blaß &amp; Eberhart:</t>
        </r>
        <r>
          <rPr>
            <sz val="9"/>
            <color indexed="81"/>
            <rFont val="Tahoma"/>
            <family val="2"/>
          </rPr>
          <t xml:space="preserve">
Nur mit "clip lock" möglich</t>
        </r>
      </text>
    </comment>
    <comment ref="C456" authorId="0" shapeId="0" xr:uid="{00000000-0006-0000-0000-000021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E464" authorId="0" shapeId="0" xr:uid="{00000000-0006-0000-0000-000022000000}">
      <text>
        <r>
          <rPr>
            <b/>
            <sz val="9"/>
            <color indexed="81"/>
            <rFont val="Tahoma"/>
            <family val="2"/>
          </rPr>
          <t>Blaß &amp; Eberhart:</t>
        </r>
        <r>
          <rPr>
            <sz val="9"/>
            <color indexed="81"/>
            <rFont val="Tahoma"/>
            <family val="2"/>
          </rPr>
          <t xml:space="preserve">
Gewindelänge der TG-Schraube ist kürzer als lef</t>
        </r>
      </text>
    </comment>
    <comment ref="J464" authorId="0" shapeId="0" xr:uid="{00000000-0006-0000-0000-000023000000}">
      <text>
        <r>
          <rPr>
            <b/>
            <sz val="9"/>
            <color indexed="81"/>
            <rFont val="Tahoma"/>
            <family val="2"/>
          </rPr>
          <t>Blaß &amp; Eberhart:</t>
        </r>
        <r>
          <rPr>
            <sz val="9"/>
            <color indexed="81"/>
            <rFont val="Tahoma"/>
            <family val="2"/>
          </rPr>
          <t xml:space="preserve">
Gewindelänge nur 70 mm, Rohdichtenbezug war falsch</t>
        </r>
      </text>
    </comment>
    <comment ref="E483" authorId="0" shapeId="0" xr:uid="{00000000-0006-0000-0000-000024000000}">
      <text>
        <r>
          <rPr>
            <b/>
            <sz val="9"/>
            <color indexed="81"/>
            <rFont val="Tahoma"/>
            <family val="2"/>
          </rPr>
          <t>Blaß &amp; Eberhart:</t>
        </r>
        <r>
          <rPr>
            <sz val="9"/>
            <color indexed="81"/>
            <rFont val="Tahoma"/>
            <family val="2"/>
          </rPr>
          <t xml:space="preserve">
Gewindelänge nur 35 mm, Rohdichtenbezug war falsch</t>
        </r>
      </text>
    </comment>
    <comment ref="J483" authorId="0" shapeId="0" xr:uid="{00000000-0006-0000-0000-000025000000}">
      <text>
        <r>
          <rPr>
            <b/>
            <sz val="9"/>
            <color indexed="81"/>
            <rFont val="Tahoma"/>
            <family val="2"/>
          </rPr>
          <t>Blaß &amp; Eberhart:</t>
        </r>
        <r>
          <rPr>
            <sz val="9"/>
            <color indexed="81"/>
            <rFont val="Tahoma"/>
            <family val="2"/>
          </rPr>
          <t xml:space="preserve">
Gewindelänge nur 40 mm, Rohdichtenbezug war falsch</t>
        </r>
      </text>
    </comment>
    <comment ref="C500" authorId="0" shapeId="0" xr:uid="{00000000-0006-0000-0000-000026000000}">
      <text>
        <r>
          <rPr>
            <b/>
            <sz val="9"/>
            <color indexed="81"/>
            <rFont val="Tahoma"/>
            <family val="2"/>
          </rPr>
          <t>Blaß &amp; Eberhart:</t>
        </r>
        <r>
          <rPr>
            <sz val="9"/>
            <color indexed="81"/>
            <rFont val="Tahoma"/>
            <family val="2"/>
          </rPr>
          <t xml:space="preserve">
entweder mit 1 oder mit 2 "clip locks".</t>
        </r>
      </text>
    </comment>
    <comment ref="E502" authorId="0" shapeId="0" xr:uid="{00000000-0006-0000-0000-000027000000}">
      <text>
        <r>
          <rPr>
            <b/>
            <sz val="9"/>
            <color indexed="81"/>
            <rFont val="Tahoma"/>
            <family val="2"/>
          </rPr>
          <t>Blaß &amp; Eberhart:</t>
        </r>
        <r>
          <rPr>
            <sz val="9"/>
            <color indexed="81"/>
            <rFont val="Tahoma"/>
            <family val="2"/>
          </rPr>
          <t xml:space="preserve">
Fax,H maßgebend für 8 mm Schraube!</t>
        </r>
      </text>
    </comment>
    <comment ref="F502" authorId="0" shapeId="0" xr:uid="{00000000-0006-0000-0000-000028000000}">
      <text>
        <r>
          <rPr>
            <b/>
            <sz val="9"/>
            <color indexed="81"/>
            <rFont val="Tahoma"/>
            <family val="2"/>
          </rPr>
          <t>Blaß &amp; Eberhart:</t>
        </r>
        <r>
          <rPr>
            <sz val="9"/>
            <color indexed="81"/>
            <rFont val="Tahoma"/>
            <family val="2"/>
          </rPr>
          <t xml:space="preserve">
Bemessungswerte miteinander vergleichen.</t>
        </r>
      </text>
    </comment>
    <comment ref="A534" authorId="0" shapeId="0" xr:uid="{00000000-0006-0000-0000-000029000000}">
      <text>
        <r>
          <rPr>
            <b/>
            <sz val="9"/>
            <color indexed="81"/>
            <rFont val="Tahoma"/>
            <family val="2"/>
          </rPr>
          <t>Blaß &amp; Eberhart:</t>
        </r>
        <r>
          <rPr>
            <sz val="9"/>
            <color indexed="81"/>
            <rFont val="Tahoma"/>
            <family val="2"/>
          </rPr>
          <t xml:space="preserve">
nur mit clip lock möglich</t>
        </r>
      </text>
    </comment>
    <comment ref="B537" authorId="0" shapeId="0" xr:uid="{00000000-0006-0000-0000-00002A000000}">
      <text>
        <r>
          <rPr>
            <b/>
            <sz val="9"/>
            <color indexed="81"/>
            <rFont val="Tahoma"/>
            <family val="2"/>
          </rPr>
          <t>Blaß &amp; Eberhart:</t>
        </r>
        <r>
          <rPr>
            <sz val="9"/>
            <color indexed="81"/>
            <rFont val="Tahoma"/>
            <family val="2"/>
          </rPr>
          <t xml:space="preserve">
Werte nach Z-9.1-656</t>
        </r>
      </text>
    </comment>
    <comment ref="B539" authorId="0" shapeId="0" xr:uid="{00000000-0006-0000-0000-00002B000000}">
      <text>
        <r>
          <rPr>
            <b/>
            <sz val="9"/>
            <color indexed="81"/>
            <rFont val="Tahoma"/>
            <family val="2"/>
          </rPr>
          <t>Blaß &amp; Eberhart:</t>
        </r>
        <r>
          <rPr>
            <sz val="9"/>
            <color indexed="81"/>
            <rFont val="Tahoma"/>
            <family val="2"/>
          </rPr>
          <t xml:space="preserve">
falscher Bezug zur Rohdichte</t>
        </r>
      </text>
    </comment>
    <comment ref="E546" authorId="0" shapeId="0" xr:uid="{00000000-0006-0000-0000-00002C000000}">
      <text>
        <r>
          <rPr>
            <b/>
            <sz val="9"/>
            <color indexed="81"/>
            <rFont val="Tahoma"/>
            <family val="2"/>
          </rPr>
          <t>Blaß &amp; Eberhart:</t>
        </r>
        <r>
          <rPr>
            <sz val="9"/>
            <color indexed="81"/>
            <rFont val="Tahoma"/>
            <family val="2"/>
          </rPr>
          <t xml:space="preserve">
Bezug zur Rohdichte falsch</t>
        </r>
      </text>
    </comment>
    <comment ref="J546" authorId="0" shapeId="0" xr:uid="{00000000-0006-0000-0000-00002D000000}">
      <text>
        <r>
          <rPr>
            <b/>
            <sz val="9"/>
            <color indexed="81"/>
            <rFont val="Tahoma"/>
            <family val="2"/>
          </rPr>
          <t>Blaß &amp; Eberhart:</t>
        </r>
        <r>
          <rPr>
            <sz val="9"/>
            <color indexed="81"/>
            <rFont val="Tahoma"/>
            <family val="2"/>
          </rPr>
          <t xml:space="preserve">
Bezug zur Rohdichte falsch</t>
        </r>
      </text>
    </comment>
    <comment ref="E564" authorId="0" shapeId="0" xr:uid="{00000000-0006-0000-0000-00002E000000}">
      <text>
        <r>
          <rPr>
            <b/>
            <sz val="9"/>
            <color indexed="81"/>
            <rFont val="Tahoma"/>
            <family val="2"/>
          </rPr>
          <t>Blaß &amp; Eberhart:</t>
        </r>
        <r>
          <rPr>
            <sz val="9"/>
            <color indexed="81"/>
            <rFont val="Tahoma"/>
            <family val="2"/>
          </rPr>
          <t xml:space="preserve">
Bezug zur Rohdichte ist falsch.</t>
        </r>
      </text>
    </comment>
    <comment ref="J564" authorId="0" shapeId="0" xr:uid="{00000000-0006-0000-0000-00002F000000}">
      <text>
        <r>
          <rPr>
            <b/>
            <sz val="9"/>
            <color indexed="81"/>
            <rFont val="Tahoma"/>
            <family val="2"/>
          </rPr>
          <t>Blaß &amp; Eberhart:</t>
        </r>
        <r>
          <rPr>
            <sz val="9"/>
            <color indexed="81"/>
            <rFont val="Tahoma"/>
            <family val="2"/>
          </rPr>
          <t xml:space="preserve">
Bezug zur Rohdichte ist falsch.</t>
        </r>
      </text>
    </comment>
    <comment ref="E583" authorId="0" shapeId="0" xr:uid="{00000000-0006-0000-0000-000030000000}">
      <text>
        <r>
          <rPr>
            <b/>
            <sz val="9"/>
            <color indexed="81"/>
            <rFont val="Tahoma"/>
            <family val="2"/>
          </rPr>
          <t>Blaß &amp; Eberhart:</t>
        </r>
        <r>
          <rPr>
            <sz val="9"/>
            <color indexed="81"/>
            <rFont val="Tahoma"/>
            <family val="2"/>
          </rPr>
          <t xml:space="preserve">
Fax mit kleinster wirksamer Länge ist maßgebend.</t>
        </r>
      </text>
    </comment>
    <comment ref="F583" authorId="0" shapeId="0" xr:uid="{00000000-0006-0000-0000-000031000000}">
      <text>
        <r>
          <rPr>
            <b/>
            <sz val="9"/>
            <color indexed="81"/>
            <rFont val="Tahoma"/>
            <family val="2"/>
          </rPr>
          <t>Blaß &amp; Eberhart:</t>
        </r>
        <r>
          <rPr>
            <sz val="9"/>
            <color indexed="81"/>
            <rFont val="Tahoma"/>
            <family val="2"/>
          </rPr>
          <t xml:space="preserve">
Bemessungswerte miteinander vergleichen</t>
        </r>
      </text>
    </comment>
    <comment ref="A600" authorId="0" shapeId="0" xr:uid="{00000000-0006-0000-0000-000032000000}">
      <text>
        <r>
          <rPr>
            <b/>
            <sz val="9"/>
            <color indexed="81"/>
            <rFont val="Tahoma"/>
            <family val="2"/>
          </rPr>
          <t>Blaß &amp; Eberhart:</t>
        </r>
        <r>
          <rPr>
            <sz val="9"/>
            <color indexed="81"/>
            <rFont val="Tahoma"/>
            <family val="2"/>
          </rPr>
          <t xml:space="preserve">
nur mit "clip lock" möglich. Als Hinweis im Flyer aufnehmen.</t>
        </r>
      </text>
    </comment>
    <comment ref="F618" authorId="0" shapeId="0" xr:uid="{00000000-0006-0000-0000-000033000000}">
      <text>
        <r>
          <rPr>
            <b/>
            <sz val="9"/>
            <color indexed="81"/>
            <rFont val="Tahoma"/>
            <family val="2"/>
          </rPr>
          <t>Blaß &amp; Eberhart:</t>
        </r>
        <r>
          <rPr>
            <sz val="9"/>
            <color indexed="81"/>
            <rFont val="Tahoma"/>
            <family val="2"/>
          </rPr>
          <t xml:space="preserve">
wegen kmod, Bemessungswerte miteinander vergleichen</t>
        </r>
      </text>
    </comment>
    <comment ref="I637" authorId="0" shapeId="0" xr:uid="{00000000-0006-0000-0000-000034000000}">
      <text>
        <r>
          <rPr>
            <b/>
            <sz val="9"/>
            <color indexed="81"/>
            <rFont val="Tahoma"/>
            <family val="2"/>
          </rPr>
          <t>Blaß &amp; Eberhart:</t>
        </r>
        <r>
          <rPr>
            <sz val="9"/>
            <color indexed="81"/>
            <rFont val="Tahoma"/>
            <family val="2"/>
          </rPr>
          <t xml:space="preserve">
Im Flyer aufnehmen, dass keine Ausmitte berücksichtigt wird!!!</t>
        </r>
      </text>
    </comment>
    <comment ref="C639" authorId="0" shapeId="0" xr:uid="{00000000-0006-0000-0000-000035000000}">
      <text>
        <r>
          <rPr>
            <b/>
            <sz val="9"/>
            <color indexed="81"/>
            <rFont val="Tahoma"/>
            <family val="2"/>
          </rPr>
          <t>Blaß &amp; Eberhart:</t>
        </r>
        <r>
          <rPr>
            <sz val="9"/>
            <color indexed="81"/>
            <rFont val="Tahoma"/>
            <family val="2"/>
          </rPr>
          <t xml:space="preserve">
eigentlich nicht in Ordnung, da eine Schraube kürzer ist. Jedoch akzeptabel, weil der Längenunterschied nicht maßgebend wird.</t>
        </r>
      </text>
    </comment>
    <comment ref="D639" authorId="0" shapeId="0" xr:uid="{00000000-0006-0000-0000-000036000000}">
      <text>
        <r>
          <rPr>
            <b/>
            <sz val="9"/>
            <color indexed="81"/>
            <rFont val="Tahoma"/>
            <family val="2"/>
          </rPr>
          <t>Blaß &amp; Eberhart:</t>
        </r>
        <r>
          <rPr>
            <sz val="9"/>
            <color indexed="81"/>
            <rFont val="Tahoma"/>
            <family val="2"/>
          </rPr>
          <t xml:space="preserve">
Teilgewindeschraube, daher lef=84 mm.</t>
        </r>
      </text>
    </comment>
    <comment ref="J650" authorId="0" shapeId="0" xr:uid="{00000000-0006-0000-0000-000037000000}">
      <text>
        <r>
          <rPr>
            <b/>
            <sz val="9"/>
            <color indexed="81"/>
            <rFont val="Tahoma"/>
            <family val="2"/>
          </rPr>
          <t>Blaß &amp; Eberhart:</t>
        </r>
        <r>
          <rPr>
            <sz val="9"/>
            <color indexed="81"/>
            <rFont val="Tahoma"/>
            <family val="2"/>
          </rPr>
          <t xml:space="preserve">
Im Flyer aufnehmen, dass keine Ausmitte berücksichtigt wird!!!</t>
        </r>
      </text>
    </comment>
    <comment ref="D652" authorId="0" shapeId="0" xr:uid="{00000000-0006-0000-0000-000038000000}">
      <text>
        <r>
          <rPr>
            <b/>
            <sz val="9"/>
            <color indexed="81"/>
            <rFont val="Tahoma"/>
            <family val="2"/>
          </rPr>
          <t>Blaß &amp; Eberhart:</t>
        </r>
        <r>
          <rPr>
            <sz val="9"/>
            <color indexed="81"/>
            <rFont val="Tahoma"/>
            <family val="2"/>
          </rPr>
          <t xml:space="preserve">
lef für TG-Schraube mit 54 mm. Abminderung mit 1,2 nicht nötig, da Einschraubwinkel = 90°</t>
        </r>
      </text>
    </comment>
    <comment ref="B658" authorId="0" shapeId="0" xr:uid="{00000000-0006-0000-0000-000039000000}">
      <text>
        <r>
          <rPr>
            <b/>
            <sz val="9"/>
            <color indexed="81"/>
            <rFont val="Tahoma"/>
            <family val="2"/>
          </rPr>
          <t>Blaß &amp; Eberhart:</t>
        </r>
        <r>
          <rPr>
            <sz val="9"/>
            <color indexed="81"/>
            <rFont val="Tahoma"/>
            <family val="2"/>
          </rPr>
          <t xml:space="preserve">
Gemäß ETA in 1,2,2,2,2,1 (Seite 11)</t>
        </r>
      </text>
    </comment>
    <comment ref="E663" authorId="0" shapeId="0" xr:uid="{00000000-0006-0000-0000-00003A000000}">
      <text>
        <r>
          <rPr>
            <b/>
            <sz val="9"/>
            <color indexed="81"/>
            <rFont val="Tahoma"/>
            <family val="2"/>
          </rPr>
          <t>Blaß &amp; Eberhart:</t>
        </r>
        <r>
          <rPr>
            <sz val="9"/>
            <color indexed="81"/>
            <rFont val="Tahoma"/>
            <family val="2"/>
          </rPr>
          <t xml:space="preserve">
Bemessungswerte miteinander vergleichen !</t>
        </r>
      </text>
    </comment>
    <comment ref="C679" authorId="0" shapeId="0" xr:uid="{00000000-0006-0000-0000-00003B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B681" authorId="0" shapeId="0" xr:uid="{00000000-0006-0000-0000-00003C000000}">
      <text>
        <r>
          <rPr>
            <b/>
            <sz val="9"/>
            <color indexed="81"/>
            <rFont val="Tahoma"/>
            <family val="2"/>
          </rPr>
          <t>Blaß &amp; Eberhart:</t>
        </r>
        <r>
          <rPr>
            <sz val="9"/>
            <color indexed="81"/>
            <rFont val="Tahoma"/>
            <family val="2"/>
          </rPr>
          <t xml:space="preserve">
Bezug zur Rohdichte wurde korrigiert</t>
        </r>
      </text>
    </comment>
    <comment ref="E687" authorId="0" shapeId="0" xr:uid="{00000000-0006-0000-0000-00003D000000}">
      <text>
        <r>
          <rPr>
            <b/>
            <sz val="9"/>
            <color indexed="81"/>
            <rFont val="Tahoma"/>
            <family val="2"/>
          </rPr>
          <t>Blaß &amp; Eberhart:</t>
        </r>
        <r>
          <rPr>
            <sz val="9"/>
            <color indexed="81"/>
            <rFont val="Tahoma"/>
            <family val="2"/>
          </rPr>
          <t xml:space="preserve">
die wirksame Länge beträgt 65 mm</t>
        </r>
      </text>
    </comment>
    <comment ref="G706" authorId="0" shapeId="0" xr:uid="{00000000-0006-0000-0000-00003E000000}">
      <text>
        <r>
          <rPr>
            <b/>
            <sz val="9"/>
            <color indexed="81"/>
            <rFont val="Tahoma"/>
            <family val="2"/>
          </rPr>
          <t>Blaß &amp; Eberhart:</t>
        </r>
        <r>
          <rPr>
            <sz val="9"/>
            <color indexed="81"/>
            <rFont val="Tahoma"/>
            <family val="2"/>
          </rPr>
          <t xml:space="preserve">
Fv nur für die 8 mm Schraube maßgebend</t>
        </r>
      </text>
    </comment>
    <comment ref="H706" authorId="0" shapeId="0" xr:uid="{00000000-0006-0000-0000-00003F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I706" authorId="0" shapeId="0" xr:uid="{00000000-0006-0000-0000-000040000000}">
      <text>
        <r>
          <rPr>
            <b/>
            <sz val="9"/>
            <color indexed="81"/>
            <rFont val="Tahoma"/>
            <family val="2"/>
          </rPr>
          <t>Blaß &amp; Eberhart:</t>
        </r>
        <r>
          <rPr>
            <sz val="9"/>
            <color indexed="81"/>
            <rFont val="Tahoma"/>
            <family val="2"/>
          </rPr>
          <t xml:space="preserve">
Fv nur für die 8 mm Schraube maßgebend</t>
        </r>
      </text>
    </comment>
    <comment ref="K706" authorId="0" shapeId="0" xr:uid="{00000000-0006-0000-0000-000041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X706" authorId="0" shapeId="0" xr:uid="{00000000-0006-0000-0000-000042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Y706" authorId="0" shapeId="0" xr:uid="{00000000-0006-0000-0000-000043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Z706" authorId="0" shapeId="0" xr:uid="{00000000-0006-0000-0000-000044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AA706" authorId="0" shapeId="0" xr:uid="{00000000-0006-0000-0000-000045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E725" authorId="0" shapeId="0" xr:uid="{00000000-0006-0000-0000-000046000000}">
      <text>
        <r>
          <rPr>
            <b/>
            <sz val="9"/>
            <color indexed="81"/>
            <rFont val="Tahoma"/>
            <family val="2"/>
          </rPr>
          <t>Blaß &amp; Eberhart:</t>
        </r>
        <r>
          <rPr>
            <sz val="9"/>
            <color indexed="81"/>
            <rFont val="Tahoma"/>
            <family val="2"/>
          </rPr>
          <t xml:space="preserve">
TG-Schraube mit lef = 35 mm</t>
        </r>
      </text>
    </comment>
    <comment ref="I744" authorId="0" shapeId="0" xr:uid="{00000000-0006-0000-0000-000047000000}">
      <text>
        <r>
          <rPr>
            <b/>
            <sz val="9"/>
            <color indexed="81"/>
            <rFont val="Tahoma"/>
            <family val="2"/>
          </rPr>
          <t>Blaß &amp; Eberhart:</t>
        </r>
        <r>
          <rPr>
            <sz val="9"/>
            <color indexed="81"/>
            <rFont val="Tahoma"/>
            <family val="2"/>
          </rPr>
          <t xml:space="preserve">
wird nur mit der 8 mm Schraube berechnet</t>
        </r>
      </text>
    </comment>
    <comment ref="J744" authorId="0" shapeId="0" xr:uid="{00000000-0006-0000-0000-000048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K744" authorId="0" shapeId="0" xr:uid="{00000000-0006-0000-0000-000049000000}">
      <text>
        <r>
          <rPr>
            <b/>
            <sz val="9"/>
            <color indexed="81"/>
            <rFont val="Tahoma"/>
            <family val="2"/>
          </rPr>
          <t>Blaß &amp; Eberhart:</t>
        </r>
        <r>
          <rPr>
            <sz val="9"/>
            <color indexed="81"/>
            <rFont val="Tahoma"/>
            <family val="2"/>
          </rPr>
          <t xml:space="preserve">
wird nur mit der 8 mm Schraube berechnet. Zusätzlich wurde eine Komponente in der Gleichung vergessen.</t>
        </r>
      </text>
    </comment>
    <comment ref="X745" authorId="0" shapeId="0" xr:uid="{00000000-0006-0000-0000-00004A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Y745" authorId="0" shapeId="0" xr:uid="{00000000-0006-0000-0000-00004B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Z745" authorId="0" shapeId="0" xr:uid="{00000000-0006-0000-0000-00004C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AA745" authorId="0" shapeId="0" xr:uid="{00000000-0006-0000-0000-00004D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E763" authorId="0" shapeId="0" xr:uid="{00000000-0006-0000-0000-00004E000000}">
      <text>
        <r>
          <rPr>
            <b/>
            <sz val="9"/>
            <color indexed="81"/>
            <rFont val="Tahoma"/>
            <family val="2"/>
          </rPr>
          <t>Blaß &amp; Eberhart:</t>
        </r>
        <r>
          <rPr>
            <sz val="9"/>
            <color indexed="81"/>
            <rFont val="Tahoma"/>
            <family val="2"/>
          </rPr>
          <t xml:space="preserve">
Bemessungswerte berücksichtigen</t>
        </r>
      </text>
    </comment>
    <comment ref="H763" authorId="0" shapeId="0" xr:uid="{00000000-0006-0000-0000-00004F000000}">
      <text>
        <r>
          <rPr>
            <b/>
            <sz val="9"/>
            <color indexed="81"/>
            <rFont val="Tahoma"/>
            <family val="2"/>
          </rPr>
          <t>Blaß &amp; Eberhart:</t>
        </r>
        <r>
          <rPr>
            <sz val="9"/>
            <color indexed="81"/>
            <rFont val="Tahoma"/>
            <family val="2"/>
          </rPr>
          <t xml:space="preserve">
Bemessungswerte berücksichtigen</t>
        </r>
      </text>
    </comment>
    <comment ref="I763" authorId="0" shapeId="0" xr:uid="{00000000-0006-0000-0000-000050000000}">
      <text>
        <r>
          <rPr>
            <b/>
            <sz val="9"/>
            <color indexed="81"/>
            <rFont val="Tahoma"/>
            <family val="2"/>
          </rPr>
          <t>Blaß &amp; Eberhart:</t>
        </r>
        <r>
          <rPr>
            <sz val="9"/>
            <color indexed="81"/>
            <rFont val="Tahoma"/>
            <family val="2"/>
          </rPr>
          <t xml:space="preserve">
Bemessungswerte berücksichtigen</t>
        </r>
      </text>
    </comment>
    <comment ref="G844" authorId="0" shapeId="0" xr:uid="{00000000-0006-0000-0000-000051000000}">
      <text>
        <r>
          <rPr>
            <b/>
            <sz val="9"/>
            <color indexed="81"/>
            <rFont val="Tahoma"/>
            <family val="2"/>
          </rPr>
          <t>Blaß &amp; Eberhart:</t>
        </r>
        <r>
          <rPr>
            <sz val="9"/>
            <color indexed="81"/>
            <rFont val="Tahoma"/>
            <family val="2"/>
          </rPr>
          <t xml:space="preserve">
Hier können die mittleren Lasten belassen werden, da kaum Unterschied vorhanden ist.</t>
        </r>
      </text>
    </comment>
    <comment ref="F865" authorId="0" shapeId="0" xr:uid="{00000000-0006-0000-0000-000052000000}">
      <text>
        <r>
          <rPr>
            <b/>
            <sz val="9"/>
            <color indexed="81"/>
            <rFont val="Tahoma"/>
            <family val="2"/>
          </rPr>
          <t>Blaß &amp; Eberhart:</t>
        </r>
        <r>
          <rPr>
            <sz val="9"/>
            <color indexed="81"/>
            <rFont val="Tahoma"/>
            <family val="2"/>
          </rPr>
          <t xml:space="preserve">
Im Flyer erwähnen, dass keine Ausmitte angesetzt wurde. Bei Ausmitte sind die Werte der Tragfähigkeit deutlich geringer.</t>
        </r>
      </text>
    </comment>
    <comment ref="G867" authorId="0" shapeId="0" xr:uid="{00000000-0006-0000-0000-000053000000}">
      <text>
        <r>
          <rPr>
            <b/>
            <sz val="9"/>
            <color indexed="81"/>
            <rFont val="Tahoma"/>
            <family val="2"/>
          </rPr>
          <t>Blaß &amp; Eberhart:</t>
        </r>
        <r>
          <rPr>
            <sz val="9"/>
            <color indexed="81"/>
            <rFont val="Tahoma"/>
            <family val="2"/>
          </rPr>
          <t xml:space="preserve">
a2 aus der Gleichung wurde bei der Berechnung nicht berücksichtigt</t>
        </r>
      </text>
    </comment>
    <comment ref="G889" authorId="0" shapeId="0" xr:uid="{00000000-0006-0000-0000-000054000000}">
      <text>
        <r>
          <rPr>
            <b/>
            <sz val="9"/>
            <color indexed="81"/>
            <rFont val="Tahoma"/>
            <family val="2"/>
          </rPr>
          <t>Blaß &amp; Eberhart:</t>
        </r>
        <r>
          <rPr>
            <sz val="9"/>
            <color indexed="81"/>
            <rFont val="Tahoma"/>
            <family val="2"/>
          </rPr>
          <t xml:space="preserve">
hier können die mittleren Lasten belassen werden, da kaum Unterschied vorhanden ist.</t>
        </r>
      </text>
    </comment>
    <comment ref="C911" authorId="0" shapeId="0" xr:uid="{00000000-0006-0000-0000-000055000000}">
      <text>
        <r>
          <rPr>
            <b/>
            <sz val="9"/>
            <color indexed="81"/>
            <rFont val="Tahoma"/>
            <family val="2"/>
          </rPr>
          <t>Blaß &amp; Eberhart:</t>
        </r>
        <r>
          <rPr>
            <sz val="9"/>
            <color indexed="81"/>
            <rFont val="Tahoma"/>
            <family val="2"/>
          </rPr>
          <t xml:space="preserve">
auch hier können die mittleren Lasten belassen werden, da kaum Unterschied zur Einzellast</t>
        </r>
      </text>
    </comment>
    <comment ref="H911" authorId="0" shapeId="0" xr:uid="{00000000-0006-0000-0000-000056000000}">
      <text>
        <r>
          <rPr>
            <b/>
            <sz val="9"/>
            <color indexed="81"/>
            <rFont val="Tahoma"/>
            <family val="2"/>
          </rPr>
          <t>Blaß &amp; Eberhart:</t>
        </r>
        <r>
          <rPr>
            <sz val="9"/>
            <color indexed="81"/>
            <rFont val="Tahoma"/>
            <family val="2"/>
          </rPr>
          <t xml:space="preserve">
Im Flyer erwähnen, dass keine Ausmitte angesetzt wurde. Bei Ausmitte sind die Werte der Tragfähigkeit deutlich geringer.</t>
        </r>
      </text>
    </comment>
    <comment ref="I911" authorId="0" shapeId="0" xr:uid="{00000000-0006-0000-0000-000057000000}">
      <text>
        <r>
          <rPr>
            <b/>
            <sz val="9"/>
            <color indexed="81"/>
            <rFont val="Tahoma"/>
            <family val="2"/>
          </rPr>
          <t>Blaß &amp; Eberhart:</t>
        </r>
        <r>
          <rPr>
            <sz val="9"/>
            <color indexed="81"/>
            <rFont val="Tahoma"/>
            <family val="2"/>
          </rPr>
          <t xml:space="preserve">
Gleichung wurde fehlerhaft eingegeben.</t>
        </r>
      </text>
    </comment>
    <comment ref="E933" authorId="0" shapeId="0" xr:uid="{00000000-0006-0000-0000-000058000000}">
      <text>
        <r>
          <rPr>
            <b/>
            <sz val="9"/>
            <color indexed="81"/>
            <rFont val="Tahoma"/>
            <family val="2"/>
          </rPr>
          <t>Blaß &amp; Eberhart:</t>
        </r>
        <r>
          <rPr>
            <sz val="9"/>
            <color indexed="81"/>
            <rFont val="Tahoma"/>
            <family val="2"/>
          </rPr>
          <t xml:space="preserve">
Bemessungswerte miteinander vergleichen</t>
        </r>
      </text>
    </comment>
    <comment ref="E958" authorId="0" shapeId="0" xr:uid="{00000000-0006-0000-0000-000059000000}">
      <text>
        <r>
          <rPr>
            <b/>
            <sz val="9"/>
            <color indexed="81"/>
            <rFont val="Tahoma"/>
            <family val="2"/>
          </rPr>
          <t>Blaß &amp; Eberhart:</t>
        </r>
        <r>
          <rPr>
            <sz val="9"/>
            <color indexed="81"/>
            <rFont val="Tahoma"/>
            <family val="2"/>
          </rPr>
          <t xml:space="preserve">
Belastung auch parallel und rechtwinklig zur Faser möglich, daher die Lochleibungsfestigkeit mit 1,35+0,015*d abgemindert.</t>
        </r>
      </text>
    </comment>
    <comment ref="E960" authorId="0" shapeId="0" xr:uid="{2BB4B87E-4134-43F0-ACCC-47474967A157}">
      <text>
        <r>
          <rPr>
            <b/>
            <sz val="9"/>
            <color indexed="81"/>
            <rFont val="Tahoma"/>
            <family val="2"/>
          </rPr>
          <t>Blaß &amp; Eberhart:</t>
        </r>
        <r>
          <rPr>
            <sz val="9"/>
            <color indexed="81"/>
            <rFont val="Tahoma"/>
            <family val="2"/>
          </rPr>
          <t xml:space="preserve">
Belastung auch parallel und rechtwinklig zur Faser möglich, daher die Lochleibungsfestigkeit mit 1,35+0,015*d abgemindert.</t>
        </r>
      </text>
    </comment>
    <comment ref="E993" authorId="0" shapeId="0" xr:uid="{00000000-0006-0000-0000-00005A000000}">
      <text>
        <r>
          <rPr>
            <b/>
            <sz val="9"/>
            <color indexed="81"/>
            <rFont val="Tahoma"/>
            <family val="2"/>
          </rPr>
          <t>Blaß &amp; Eberhart:</t>
        </r>
        <r>
          <rPr>
            <sz val="9"/>
            <color indexed="81"/>
            <rFont val="Tahoma"/>
            <family val="2"/>
          </rPr>
          <t xml:space="preserve">
Bemessungswerte miteinander vergleichen.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Blaß &amp; Eberhart</author>
    <author>Torsten Langejürgen</author>
  </authors>
  <commentList>
    <comment ref="F5" authorId="0" shapeId="0" xr:uid="{00000000-0006-0000-0100-000001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E151" authorId="1" shapeId="0" xr:uid="{00000000-0006-0000-0100-000002000000}">
      <text>
        <r>
          <rPr>
            <b/>
            <sz val="9"/>
            <color indexed="81"/>
            <rFont val="Tahoma"/>
            <family val="2"/>
          </rPr>
          <t>Torsten Langejürgen:</t>
        </r>
        <r>
          <rPr>
            <sz val="9"/>
            <color indexed="81"/>
            <rFont val="Tahoma"/>
            <family val="2"/>
          </rPr>
          <t xml:space="preserve">
a1 muss auf Schraubenanzahl von 20 umgerechnet werden !</t>
        </r>
      </text>
    </comment>
    <comment ref="F151" authorId="1" shapeId="0" xr:uid="{00000000-0006-0000-0100-000003000000}">
      <text>
        <r>
          <rPr>
            <b/>
            <sz val="9"/>
            <color indexed="81"/>
            <rFont val="Tahoma"/>
            <family val="2"/>
          </rPr>
          <t>Torsten Langejürgen:</t>
        </r>
        <r>
          <rPr>
            <sz val="9"/>
            <color indexed="81"/>
            <rFont val="Tahoma"/>
            <family val="2"/>
          </rPr>
          <t xml:space="preserve">
a2 Wert muss auf Schraubenanzahl 20 umgerechnet werden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Blaß &amp; Eberhart</author>
  </authors>
  <commentList>
    <comment ref="D3" authorId="0" shapeId="0" xr:uid="{00000000-0006-0000-0200-000001000000}">
      <text>
        <r>
          <rPr>
            <b/>
            <sz val="9"/>
            <color indexed="81"/>
            <rFont val="Tahoma"/>
            <family val="2"/>
          </rPr>
          <t>Blaß &amp; Eberhart:</t>
        </r>
        <r>
          <rPr>
            <sz val="9"/>
            <color indexed="81"/>
            <rFont val="Tahoma"/>
            <family val="2"/>
          </rPr>
          <t xml:space="preserve">
Gilt nur, wenn die Zugkraft mittig zwischen den beiden äußeren Zugschrauben angeordnet ist. Damit müssten die Zeichnungen angepasst werden. Der Hinweis sollte in das Statik-Flyer aufgenommen werden.</t>
        </r>
      </text>
    </comment>
    <comment ref="C45" authorId="0" shapeId="0" xr:uid="{00000000-0006-0000-0200-000002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E54" authorId="0" shapeId="0" xr:uid="{00000000-0006-0000-0200-000003000000}">
      <text>
        <r>
          <rPr>
            <b/>
            <sz val="9"/>
            <color indexed="81"/>
            <rFont val="Tahoma"/>
            <family val="2"/>
          </rPr>
          <t>Blaß &amp; Eberhart:</t>
        </r>
        <r>
          <rPr>
            <sz val="9"/>
            <color indexed="81"/>
            <rFont val="Tahoma"/>
            <family val="2"/>
          </rPr>
          <t xml:space="preserve">
Tatsächliche Gewindelänge der TG-Schraube ansetzen</t>
        </r>
      </text>
    </comment>
    <comment ref="J54" authorId="0" shapeId="0" xr:uid="{00000000-0006-0000-0200-000004000000}">
      <text>
        <r>
          <rPr>
            <b/>
            <sz val="9"/>
            <color indexed="81"/>
            <rFont val="Tahoma"/>
            <family val="2"/>
          </rPr>
          <t>Blaß &amp; Eberhart:</t>
        </r>
        <r>
          <rPr>
            <sz val="9"/>
            <color indexed="81"/>
            <rFont val="Tahoma"/>
            <family val="2"/>
          </rPr>
          <t xml:space="preserve">
Gewindelänge der TG-Schraube ansetzen.</t>
        </r>
      </text>
    </comment>
    <comment ref="E65" authorId="0" shapeId="0" xr:uid="{00000000-0006-0000-0200-000005000000}">
      <text>
        <r>
          <rPr>
            <b/>
            <sz val="9"/>
            <color indexed="81"/>
            <rFont val="Tahoma"/>
            <family val="2"/>
          </rPr>
          <t>Blaß &amp; Eberhart:</t>
        </r>
        <r>
          <rPr>
            <sz val="9"/>
            <color indexed="81"/>
            <rFont val="Tahoma"/>
            <family val="2"/>
          </rPr>
          <t xml:space="preserve">
Tatsächliche Gewindelänge der TG-Schraube ansetzen</t>
        </r>
      </text>
    </comment>
    <comment ref="J65" authorId="0" shapeId="0" xr:uid="{00000000-0006-0000-0200-000006000000}">
      <text>
        <r>
          <rPr>
            <b/>
            <sz val="9"/>
            <color indexed="81"/>
            <rFont val="Tahoma"/>
            <family val="2"/>
          </rPr>
          <t>Blaß &amp; Eberhart:</t>
        </r>
        <r>
          <rPr>
            <sz val="9"/>
            <color indexed="81"/>
            <rFont val="Tahoma"/>
            <family val="2"/>
          </rPr>
          <t xml:space="preserve">
Gewindelänge der TG-Schraube ansetzen.</t>
        </r>
      </text>
    </comment>
    <comment ref="E120" authorId="0" shapeId="0" xr:uid="{00000000-0006-0000-0200-000007000000}">
      <text>
        <r>
          <rPr>
            <b/>
            <sz val="9"/>
            <color indexed="81"/>
            <rFont val="Tahoma"/>
            <family val="2"/>
          </rPr>
          <t>Blaß &amp; Eberhart:</t>
        </r>
        <r>
          <rPr>
            <sz val="9"/>
            <color indexed="81"/>
            <rFont val="Tahoma"/>
            <family val="2"/>
          </rPr>
          <t xml:space="preserve">
Falsche Zugtragfähigkeit angesetzt.</t>
        </r>
      </text>
    </comment>
    <comment ref="F120" authorId="0" shapeId="0" xr:uid="{00000000-0006-0000-0200-000008000000}">
      <text>
        <r>
          <rPr>
            <b/>
            <sz val="9"/>
            <color indexed="81"/>
            <rFont val="Tahoma"/>
            <family val="2"/>
          </rPr>
          <t>Blaß &amp; Eberhart:</t>
        </r>
        <r>
          <rPr>
            <sz val="9"/>
            <color indexed="81"/>
            <rFont val="Tahoma"/>
            <family val="2"/>
          </rPr>
          <t xml:space="preserve">
Min-Werte mit Bemessungswerten ermitteln.</t>
        </r>
      </text>
    </comment>
    <comment ref="E131" authorId="0" shapeId="0" xr:uid="{00000000-0006-0000-0200-000009000000}">
      <text>
        <r>
          <rPr>
            <b/>
            <sz val="9"/>
            <color indexed="81"/>
            <rFont val="Tahoma"/>
            <family val="2"/>
          </rPr>
          <t>Blaß &amp; Eberhart:</t>
        </r>
        <r>
          <rPr>
            <sz val="9"/>
            <color indexed="81"/>
            <rFont val="Tahoma"/>
            <family val="2"/>
          </rPr>
          <t xml:space="preserve">
Falsche Zugtragfähigkeit angesetzt.</t>
        </r>
      </text>
    </comment>
    <comment ref="F131" authorId="0" shapeId="0" xr:uid="{00000000-0006-0000-0200-00000A000000}">
      <text>
        <r>
          <rPr>
            <b/>
            <sz val="9"/>
            <color indexed="81"/>
            <rFont val="Tahoma"/>
            <family val="2"/>
          </rPr>
          <t>Blaß &amp; Eberhart:</t>
        </r>
        <r>
          <rPr>
            <sz val="9"/>
            <color indexed="81"/>
            <rFont val="Tahoma"/>
            <family val="2"/>
          </rPr>
          <t xml:space="preserve">
Min-Werte mit Bemessungswerten ermitteln.</t>
        </r>
      </text>
    </comment>
    <comment ref="A153" authorId="0" shapeId="0" xr:uid="{00000000-0006-0000-0200-00000C000000}">
      <text>
        <r>
          <rPr>
            <b/>
            <sz val="9"/>
            <color indexed="81"/>
            <rFont val="Tahoma"/>
            <family val="2"/>
          </rPr>
          <t>Blaß &amp; Eberhart:</t>
        </r>
        <r>
          <rPr>
            <sz val="9"/>
            <color indexed="81"/>
            <rFont val="Tahoma"/>
            <family val="2"/>
          </rPr>
          <t xml:space="preserve">
Nur mit "clip lock" möglich</t>
        </r>
      </text>
    </comment>
    <comment ref="C173" authorId="0" shapeId="0" xr:uid="{00000000-0006-0000-0200-00000E000000}">
      <text>
        <r>
          <rPr>
            <b/>
            <sz val="9"/>
            <color indexed="81"/>
            <rFont val="Tahoma"/>
            <family val="2"/>
          </rPr>
          <t>Blaß &amp; Eberhart:</t>
        </r>
        <r>
          <rPr>
            <sz val="9"/>
            <color indexed="81"/>
            <rFont val="Tahoma"/>
            <family val="2"/>
          </rPr>
          <t xml:space="preserve">
My aus der Schmid Zulassung Z-9.1-435. Hier war der Wert mit 4900 jedoch nicht gemäß der Zulassung.</t>
        </r>
      </text>
    </comment>
    <comment ref="B175" authorId="0" shapeId="0" xr:uid="{00000000-0006-0000-0200-00000F000000}">
      <text>
        <r>
          <rPr>
            <b/>
            <sz val="9"/>
            <color indexed="81"/>
            <rFont val="Tahoma"/>
            <family val="2"/>
          </rPr>
          <t>Blaß &amp; Eberhart:</t>
        </r>
        <r>
          <rPr>
            <sz val="9"/>
            <color indexed="81"/>
            <rFont val="Tahoma"/>
            <family val="2"/>
          </rPr>
          <t xml:space="preserve">
Bezug zur Rohdichte wurde korrigiert</t>
        </r>
      </text>
    </comment>
    <comment ref="E182" authorId="0" shapeId="0" xr:uid="{00000000-0006-0000-0200-000010000000}">
      <text>
        <r>
          <rPr>
            <b/>
            <sz val="9"/>
            <color indexed="81"/>
            <rFont val="Tahoma"/>
            <family val="2"/>
          </rPr>
          <t>Blaß &amp; Eberhart:</t>
        </r>
        <r>
          <rPr>
            <sz val="9"/>
            <color indexed="81"/>
            <rFont val="Tahoma"/>
            <family val="2"/>
          </rPr>
          <t xml:space="preserve">
die wirksame Länge beträgt 65 mm</t>
        </r>
      </text>
    </comment>
    <comment ref="E193" authorId="0" shapeId="0" xr:uid="{00000000-0006-0000-0200-000011000000}">
      <text>
        <r>
          <rPr>
            <b/>
            <sz val="9"/>
            <color indexed="81"/>
            <rFont val="Tahoma"/>
            <family val="2"/>
          </rPr>
          <t>Blaß &amp; Eberhart:</t>
        </r>
        <r>
          <rPr>
            <sz val="9"/>
            <color indexed="81"/>
            <rFont val="Tahoma"/>
            <family val="2"/>
          </rPr>
          <t xml:space="preserve">
die wirksame Länge beträgt 65 mm</t>
        </r>
      </text>
    </comment>
    <comment ref="G214" authorId="0" shapeId="0" xr:uid="{00000000-0006-0000-0200-000012000000}">
      <text>
        <r>
          <rPr>
            <b/>
            <sz val="9"/>
            <color indexed="81"/>
            <rFont val="Tahoma"/>
            <family val="2"/>
          </rPr>
          <t>Blaß &amp; Eberhart:</t>
        </r>
        <r>
          <rPr>
            <sz val="9"/>
            <color indexed="81"/>
            <rFont val="Tahoma"/>
            <family val="2"/>
          </rPr>
          <t xml:space="preserve">
Fv nur für die 8 mm Schraube maßgebend</t>
        </r>
      </text>
    </comment>
    <comment ref="H214" authorId="0" shapeId="0" xr:uid="{00000000-0006-0000-0200-000013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I214" authorId="0" shapeId="0" xr:uid="{00000000-0006-0000-0200-000014000000}">
      <text>
        <r>
          <rPr>
            <b/>
            <sz val="9"/>
            <color indexed="81"/>
            <rFont val="Tahoma"/>
            <family val="2"/>
          </rPr>
          <t>Blaß &amp; Eberhart:</t>
        </r>
        <r>
          <rPr>
            <sz val="9"/>
            <color indexed="81"/>
            <rFont val="Tahoma"/>
            <family val="2"/>
          </rPr>
          <t xml:space="preserve">
Fv nur für die 8 mm Schraube maßgebend</t>
        </r>
      </text>
    </comment>
    <comment ref="N214" authorId="0" shapeId="0" xr:uid="{00000000-0006-0000-0200-000015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O214" authorId="0" shapeId="0" xr:uid="{00000000-0006-0000-0200-000016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P214" authorId="0" shapeId="0" xr:uid="{00000000-0006-0000-0200-000017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Q214" authorId="0" shapeId="0" xr:uid="{00000000-0006-0000-0200-000018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E247" authorId="0" shapeId="0" xr:uid="{00000000-0006-0000-0200-000019000000}">
      <text>
        <r>
          <rPr>
            <b/>
            <sz val="9"/>
            <color indexed="81"/>
            <rFont val="Tahoma"/>
            <family val="2"/>
          </rPr>
          <t>Blaß &amp; Eberhart:</t>
        </r>
        <r>
          <rPr>
            <sz val="9"/>
            <color indexed="81"/>
            <rFont val="Tahoma"/>
            <family val="2"/>
          </rPr>
          <t xml:space="preserve">
TG-Schraube mit lef = 35 mm</t>
        </r>
      </text>
    </comment>
    <comment ref="E258" authorId="0" shapeId="0" xr:uid="{00000000-0006-0000-0200-00001A000000}">
      <text>
        <r>
          <rPr>
            <b/>
            <sz val="9"/>
            <color indexed="81"/>
            <rFont val="Tahoma"/>
            <family val="2"/>
          </rPr>
          <t>Blaß &amp; Eberhart:</t>
        </r>
        <r>
          <rPr>
            <sz val="9"/>
            <color indexed="81"/>
            <rFont val="Tahoma"/>
            <family val="2"/>
          </rPr>
          <t xml:space="preserve">
TG-Schraube mit lef = 35 mm</t>
        </r>
      </text>
    </comment>
    <comment ref="I279" authorId="0" shapeId="0" xr:uid="{00000000-0006-0000-0200-00001B000000}">
      <text>
        <r>
          <rPr>
            <b/>
            <sz val="9"/>
            <color indexed="81"/>
            <rFont val="Tahoma"/>
            <family val="2"/>
          </rPr>
          <t>Blaß &amp; Eberhart:</t>
        </r>
        <r>
          <rPr>
            <sz val="9"/>
            <color indexed="81"/>
            <rFont val="Tahoma"/>
            <family val="2"/>
          </rPr>
          <t xml:space="preserve">
wird nur mit der 8 mm Schraube berechnet</t>
        </r>
      </text>
    </comment>
    <comment ref="J279" authorId="0" shapeId="0" xr:uid="{00000000-0006-0000-0200-00001C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K279" authorId="0" shapeId="0" xr:uid="{00000000-0006-0000-0200-00001D000000}">
      <text>
        <r>
          <rPr>
            <b/>
            <sz val="9"/>
            <color indexed="81"/>
            <rFont val="Tahoma"/>
            <family val="2"/>
          </rPr>
          <t>Blaß &amp; Eberhart:</t>
        </r>
        <r>
          <rPr>
            <sz val="9"/>
            <color indexed="81"/>
            <rFont val="Tahoma"/>
            <family val="2"/>
          </rPr>
          <t xml:space="preserve">
wird nur mit der 8 mm Schraube berechnet. Zusätzlich wurde eine Komponente in der Gleichung vergessen.</t>
        </r>
      </text>
    </comment>
    <comment ref="N279" authorId="0" shapeId="0" xr:uid="{00000000-0006-0000-0200-00001E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O279" authorId="0" shapeId="0" xr:uid="{00000000-0006-0000-0200-00001F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P279" authorId="0" shapeId="0" xr:uid="{00000000-0006-0000-0200-000020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Q279" authorId="0" shapeId="0" xr:uid="{00000000-0006-0000-0200-000021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I290" authorId="0" shapeId="0" xr:uid="{00000000-0006-0000-0200-000022000000}">
      <text>
        <r>
          <rPr>
            <b/>
            <sz val="9"/>
            <color indexed="81"/>
            <rFont val="Tahoma"/>
            <family val="2"/>
          </rPr>
          <t>Blaß &amp; Eberhart:</t>
        </r>
        <r>
          <rPr>
            <sz val="9"/>
            <color indexed="81"/>
            <rFont val="Tahoma"/>
            <family val="2"/>
          </rPr>
          <t xml:space="preserve">
wird nur mit der 8 mm Schraube berechnet</t>
        </r>
      </text>
    </comment>
    <comment ref="J290" authorId="0" shapeId="0" xr:uid="{00000000-0006-0000-0200-000023000000}">
      <text>
        <r>
          <rPr>
            <b/>
            <sz val="9"/>
            <color indexed="81"/>
            <rFont val="Tahoma"/>
            <family val="2"/>
          </rPr>
          <t>Blaß &amp; Eberhart:</t>
        </r>
        <r>
          <rPr>
            <sz val="9"/>
            <color indexed="81"/>
            <rFont val="Tahoma"/>
            <family val="2"/>
          </rPr>
          <t xml:space="preserve">
was ist das für eine maximale Ausmitte? Andere Ausmitten sind doch auch möglich!</t>
        </r>
      </text>
    </comment>
    <comment ref="K290" authorId="0" shapeId="0" xr:uid="{00000000-0006-0000-0200-000024000000}">
      <text>
        <r>
          <rPr>
            <b/>
            <sz val="9"/>
            <color indexed="81"/>
            <rFont val="Tahoma"/>
            <family val="2"/>
          </rPr>
          <t>Blaß &amp; Eberhart:</t>
        </r>
        <r>
          <rPr>
            <sz val="9"/>
            <color indexed="81"/>
            <rFont val="Tahoma"/>
            <family val="2"/>
          </rPr>
          <t xml:space="preserve">
wird nur mit der 8 mm Schraube berechnet. Zusätzlich wurde eine Komponente in der Gleichung vergessen.</t>
        </r>
      </text>
    </comment>
    <comment ref="E312" authorId="0" shapeId="0" xr:uid="{00000000-0006-0000-0200-000025000000}">
      <text>
        <r>
          <rPr>
            <b/>
            <sz val="9"/>
            <color indexed="81"/>
            <rFont val="Tahoma"/>
            <family val="2"/>
          </rPr>
          <t>Blaß &amp; Eberhart:</t>
        </r>
        <r>
          <rPr>
            <sz val="9"/>
            <color indexed="81"/>
            <rFont val="Tahoma"/>
            <family val="2"/>
          </rPr>
          <t xml:space="preserve">
Bemessungswerte berücksichtigen</t>
        </r>
      </text>
    </comment>
    <comment ref="H312" authorId="0" shapeId="0" xr:uid="{00000000-0006-0000-0200-000026000000}">
      <text>
        <r>
          <rPr>
            <b/>
            <sz val="9"/>
            <color indexed="81"/>
            <rFont val="Tahoma"/>
            <family val="2"/>
          </rPr>
          <t>Blaß &amp; Eberhart:</t>
        </r>
        <r>
          <rPr>
            <sz val="9"/>
            <color indexed="81"/>
            <rFont val="Tahoma"/>
            <family val="2"/>
          </rPr>
          <t xml:space="preserve">
Bemessungswerte berücksichtigen</t>
        </r>
      </text>
    </comment>
    <comment ref="I312" authorId="0" shapeId="0" xr:uid="{00000000-0006-0000-0200-000027000000}">
      <text>
        <r>
          <rPr>
            <b/>
            <sz val="9"/>
            <color indexed="81"/>
            <rFont val="Tahoma"/>
            <family val="2"/>
          </rPr>
          <t>Blaß &amp; Eberhart:</t>
        </r>
        <r>
          <rPr>
            <sz val="9"/>
            <color indexed="81"/>
            <rFont val="Tahoma"/>
            <family val="2"/>
          </rPr>
          <t xml:space="preserve">
Bemessungswerte berücksichtigen</t>
        </r>
      </text>
    </comment>
    <comment ref="E388" authorId="0" shapeId="0" xr:uid="{00000000-0006-0000-0200-000028000000}">
      <text>
        <r>
          <rPr>
            <b/>
            <sz val="9"/>
            <color indexed="81"/>
            <rFont val="Tahoma"/>
            <family val="2"/>
          </rPr>
          <t>Blaß &amp; Eberhart:</t>
        </r>
        <r>
          <rPr>
            <sz val="9"/>
            <color indexed="81"/>
            <rFont val="Tahoma"/>
            <family val="2"/>
          </rPr>
          <t xml:space="preserve">
Belastung auch parallel und rechtwinklig zur Faser möglich, daher die Lochleibungsfestigkeit mit 1,35+0,015*d abgemindert.</t>
        </r>
      </text>
    </comment>
    <comment ref="E416" authorId="0" shapeId="0" xr:uid="{00000000-0006-0000-0200-000029000000}">
      <text>
        <r>
          <rPr>
            <b/>
            <sz val="9"/>
            <color indexed="81"/>
            <rFont val="Tahoma"/>
            <family val="2"/>
          </rPr>
          <t>Blaß &amp; Eberhart:</t>
        </r>
        <r>
          <rPr>
            <sz val="9"/>
            <color indexed="81"/>
            <rFont val="Tahoma"/>
            <family val="2"/>
          </rPr>
          <t xml:space="preserve">
Bemessungswerte miteinander vergleichen.</t>
        </r>
      </text>
    </comment>
  </commentList>
</comments>
</file>

<file path=xl/sharedStrings.xml><?xml version="1.0" encoding="utf-8"?>
<sst xmlns="http://schemas.openxmlformats.org/spreadsheetml/2006/main" count="5101" uniqueCount="1391">
  <si>
    <r>
      <t>Load direction F</t>
    </r>
    <r>
      <rPr>
        <b/>
        <vertAlign val="subscript"/>
        <sz val="18"/>
        <color indexed="8"/>
        <rFont val="Calibri"/>
        <family val="2"/>
      </rPr>
      <t>1</t>
    </r>
    <r>
      <rPr>
        <b/>
        <sz val="18"/>
        <color indexed="8"/>
        <rFont val="Calibri"/>
        <family val="2"/>
      </rPr>
      <t xml:space="preserve"> perpendicular to the connector plate</t>
    </r>
  </si>
  <si>
    <t>EC5</t>
  </si>
  <si>
    <t>Knapp Connector</t>
  </si>
  <si>
    <r>
      <t>F</t>
    </r>
    <r>
      <rPr>
        <vertAlign val="subscript"/>
        <sz val="11"/>
        <color indexed="8"/>
        <rFont val="Calibri"/>
        <family val="2"/>
      </rPr>
      <t>1,KCC,RK</t>
    </r>
  </si>
  <si>
    <r>
      <t>a</t>
    </r>
    <r>
      <rPr>
        <vertAlign val="subscript"/>
        <sz val="11"/>
        <color indexed="8"/>
        <rFont val="Calibri"/>
        <family val="2"/>
      </rPr>
      <t>c</t>
    </r>
  </si>
  <si>
    <r>
      <t>e</t>
    </r>
    <r>
      <rPr>
        <vertAlign val="subscript"/>
        <sz val="11"/>
        <color indexed="8"/>
        <rFont val="Calibri"/>
        <family val="2"/>
      </rPr>
      <t>1</t>
    </r>
  </si>
  <si>
    <r>
      <t>n</t>
    </r>
    <r>
      <rPr>
        <vertAlign val="subscript"/>
        <sz val="11"/>
        <color indexed="8"/>
        <rFont val="Calibri"/>
        <family val="2"/>
      </rPr>
      <t>ef</t>
    </r>
  </si>
  <si>
    <r>
      <t>l</t>
    </r>
    <r>
      <rPr>
        <vertAlign val="subscript"/>
        <sz val="11"/>
        <color indexed="8"/>
        <rFont val="Calibri"/>
        <family val="2"/>
      </rPr>
      <t>ef (H)</t>
    </r>
  </si>
  <si>
    <r>
      <t>l</t>
    </r>
    <r>
      <rPr>
        <vertAlign val="subscript"/>
        <sz val="11"/>
        <color indexed="8"/>
        <rFont val="Calibri"/>
        <family val="2"/>
      </rPr>
      <t>ef (J)</t>
    </r>
  </si>
  <si>
    <t>d</t>
  </si>
  <si>
    <r>
      <t>F</t>
    </r>
    <r>
      <rPr>
        <vertAlign val="subscript"/>
        <sz val="11"/>
        <color indexed="8"/>
        <rFont val="Calibri"/>
        <family val="2"/>
      </rPr>
      <t>ax,Rk (H)</t>
    </r>
  </si>
  <si>
    <r>
      <t>F</t>
    </r>
    <r>
      <rPr>
        <vertAlign val="subscript"/>
        <sz val="11"/>
        <color indexed="8"/>
        <rFont val="Calibri"/>
        <family val="2"/>
      </rPr>
      <t>ax,Rk (J)</t>
    </r>
  </si>
  <si>
    <r>
      <t>F</t>
    </r>
    <r>
      <rPr>
        <vertAlign val="subscript"/>
        <sz val="11"/>
        <color indexed="8"/>
        <rFont val="Calibri"/>
        <family val="2"/>
      </rPr>
      <t>t,Rk</t>
    </r>
  </si>
  <si>
    <r>
      <t>F</t>
    </r>
    <r>
      <rPr>
        <b/>
        <vertAlign val="subscript"/>
        <sz val="11"/>
        <color indexed="8"/>
        <rFont val="Calibri"/>
        <family val="2"/>
      </rPr>
      <t>1,Rk</t>
    </r>
  </si>
  <si>
    <t>Design value F1,Rd centric</t>
  </si>
  <si>
    <t>Wood</t>
  </si>
  <si>
    <t>Characteristic</t>
  </si>
  <si>
    <t>[kN]</t>
  </si>
  <si>
    <t>[mm]</t>
  </si>
  <si>
    <t>[pcs]</t>
  </si>
  <si>
    <t>material</t>
  </si>
  <si>
    <r>
      <t xml:space="preserve">density </t>
    </r>
    <r>
      <rPr>
        <sz val="11"/>
        <color indexed="8"/>
        <rFont val="Symbol"/>
        <family val="1"/>
        <charset val="2"/>
      </rPr>
      <t>r</t>
    </r>
    <r>
      <rPr>
        <sz val="11"/>
        <color theme="1"/>
        <rFont val="Calibri"/>
        <family val="2"/>
        <scheme val="minor"/>
      </rPr>
      <t>k</t>
    </r>
  </si>
  <si>
    <t>C24</t>
  </si>
  <si>
    <t>C30</t>
  </si>
  <si>
    <t>GL24c</t>
  </si>
  <si>
    <t>GL24h</t>
  </si>
  <si>
    <t>GL28h</t>
  </si>
  <si>
    <t>RICON S 140/60 VK</t>
  </si>
  <si>
    <t>RICON S 170/60 VK</t>
  </si>
  <si>
    <t>RICON S 200/60 VK</t>
  </si>
  <si>
    <t>RICON S 230/60 VK</t>
  </si>
  <si>
    <t>RICON S 200/80 VK</t>
  </si>
  <si>
    <t>RICON S 230/80 VK</t>
  </si>
  <si>
    <t>RICON S 260/80 VK</t>
  </si>
  <si>
    <t>RICON S 290/80 VK</t>
  </si>
  <si>
    <t>Wood Material:</t>
  </si>
  <si>
    <t>Für alle Fälle 1 bis 6 identisch</t>
  </si>
  <si>
    <r>
      <t>charateristic density</t>
    </r>
    <r>
      <rPr>
        <sz val="11"/>
        <color indexed="8"/>
        <rFont val="Symbol"/>
        <family val="1"/>
        <charset val="2"/>
      </rPr>
      <t xml:space="preserve"> r</t>
    </r>
    <r>
      <rPr>
        <vertAlign val="subscript"/>
        <sz val="11"/>
        <color indexed="8"/>
        <rFont val="Calibri"/>
        <family val="2"/>
      </rPr>
      <t>k</t>
    </r>
    <r>
      <rPr>
        <sz val="11"/>
        <color theme="1"/>
        <rFont val="Calibri"/>
        <family val="2"/>
        <scheme val="minor"/>
      </rPr>
      <t xml:space="preserve"> =</t>
    </r>
  </si>
  <si>
    <t>kg/m³</t>
  </si>
  <si>
    <t>Walco V60, Fall 1, 2, 4, 5</t>
  </si>
  <si>
    <t>Walco V80, Fall 1, 2, 4, 5</t>
  </si>
  <si>
    <t>n</t>
  </si>
  <si>
    <r>
      <t>l</t>
    </r>
    <r>
      <rPr>
        <vertAlign val="subscript"/>
        <sz val="11"/>
        <color indexed="8"/>
        <rFont val="Calibri"/>
        <family val="2"/>
      </rPr>
      <t xml:space="preserve">ef </t>
    </r>
  </si>
  <si>
    <r>
      <t>F</t>
    </r>
    <r>
      <rPr>
        <vertAlign val="subscript"/>
        <sz val="11"/>
        <color indexed="8"/>
        <rFont val="Calibri"/>
        <family val="2"/>
      </rPr>
      <t xml:space="preserve">ax,Rk </t>
    </r>
  </si>
  <si>
    <r>
      <t>l</t>
    </r>
    <r>
      <rPr>
        <vertAlign val="subscript"/>
        <sz val="11"/>
        <color indexed="8"/>
        <rFont val="Calibri"/>
        <family val="2"/>
      </rPr>
      <t>ef (CS)</t>
    </r>
  </si>
  <si>
    <r>
      <t>F</t>
    </r>
    <r>
      <rPr>
        <vertAlign val="subscript"/>
        <sz val="11"/>
        <color indexed="8"/>
        <rFont val="Calibri"/>
        <family val="2"/>
      </rPr>
      <t xml:space="preserve">ax,CS,Rk </t>
    </r>
  </si>
  <si>
    <r>
      <t>R</t>
    </r>
    <r>
      <rPr>
        <b/>
        <vertAlign val="subscript"/>
        <sz val="11"/>
        <color indexed="8"/>
        <rFont val="Calibri"/>
        <family val="2"/>
      </rPr>
      <t>1,k</t>
    </r>
  </si>
  <si>
    <t>Abminder-ungsfaktor f</t>
  </si>
  <si>
    <t>Walco V60 (60 mm Holz)</t>
  </si>
  <si>
    <t>Walco V60 (45 mm Holz)</t>
  </si>
  <si>
    <t>Walco V80 (60 mm Holz)</t>
  </si>
  <si>
    <t>Walco V80 (45 mm Holz)</t>
  </si>
  <si>
    <t>Walco V80 (60 mm Holz VK)</t>
  </si>
  <si>
    <t>Walco V60, Fall 3, 6</t>
  </si>
  <si>
    <t>Walco V80, Fall 3, 6</t>
  </si>
  <si>
    <r>
      <t>Load direction F</t>
    </r>
    <r>
      <rPr>
        <b/>
        <vertAlign val="subscript"/>
        <sz val="18"/>
        <color indexed="8"/>
        <rFont val="Calibri"/>
        <family val="2"/>
      </rPr>
      <t>2</t>
    </r>
    <r>
      <rPr>
        <b/>
        <sz val="18"/>
        <color indexed="8"/>
        <rFont val="Calibri"/>
        <family val="2"/>
      </rPr>
      <t xml:space="preserve"> in the direction of insertion</t>
    </r>
  </si>
  <si>
    <r>
      <t>F</t>
    </r>
    <r>
      <rPr>
        <vertAlign val="subscript"/>
        <sz val="11"/>
        <color indexed="8"/>
        <rFont val="Calibri"/>
        <family val="2"/>
      </rPr>
      <t>ax,J,RK</t>
    </r>
  </si>
  <si>
    <r>
      <t>F</t>
    </r>
    <r>
      <rPr>
        <vertAlign val="subscript"/>
        <sz val="11"/>
        <color indexed="8"/>
        <rFont val="Calibri"/>
        <family val="2"/>
      </rPr>
      <t>v,J,Rk</t>
    </r>
    <r>
      <rPr>
        <sz val="11"/>
        <color theme="1"/>
        <rFont val="Calibri"/>
        <family val="2"/>
        <scheme val="minor"/>
      </rPr>
      <t xml:space="preserve"> </t>
    </r>
  </si>
  <si>
    <r>
      <rPr>
        <sz val="11"/>
        <color indexed="8"/>
        <rFont val="Symbol"/>
        <family val="1"/>
        <charset val="2"/>
      </rPr>
      <t>S</t>
    </r>
    <r>
      <rPr>
        <sz val="11"/>
        <color theme="1"/>
        <rFont val="Calibri"/>
        <family val="2"/>
        <scheme val="minor"/>
      </rPr>
      <t xml:space="preserve"> F</t>
    </r>
    <r>
      <rPr>
        <vertAlign val="subscript"/>
        <sz val="11"/>
        <color indexed="8"/>
        <rFont val="Calibri"/>
        <family val="2"/>
      </rPr>
      <t>v,J,Rk</t>
    </r>
  </si>
  <si>
    <r>
      <t>char. yield moment M</t>
    </r>
    <r>
      <rPr>
        <vertAlign val="subscript"/>
        <sz val="11"/>
        <color indexed="8"/>
        <rFont val="Calibri"/>
        <family val="2"/>
      </rPr>
      <t>y,Rk</t>
    </r>
    <r>
      <rPr>
        <sz val="11"/>
        <color theme="1"/>
        <rFont val="Calibri"/>
        <family val="2"/>
        <scheme val="minor"/>
      </rPr>
      <t xml:space="preserve"> =</t>
    </r>
  </si>
  <si>
    <t>Nmm</t>
  </si>
  <si>
    <t>outer thread diameter d =</t>
  </si>
  <si>
    <t>mm</t>
  </si>
  <si>
    <r>
      <t>Embedding strength f</t>
    </r>
    <r>
      <rPr>
        <vertAlign val="subscript"/>
        <sz val="11"/>
        <color indexed="8"/>
        <rFont val="Calibri"/>
        <family val="2"/>
      </rPr>
      <t xml:space="preserve">h,J,k </t>
    </r>
    <r>
      <rPr>
        <sz val="11"/>
        <color theme="1"/>
        <rFont val="Calibri"/>
        <family val="2"/>
        <scheme val="minor"/>
      </rPr>
      <t>=</t>
    </r>
  </si>
  <si>
    <t>N/mm²</t>
  </si>
  <si>
    <r>
      <t>Embedding strength f</t>
    </r>
    <r>
      <rPr>
        <vertAlign val="subscript"/>
        <sz val="11"/>
        <color indexed="8"/>
        <rFont val="Calibri"/>
        <family val="2"/>
      </rPr>
      <t xml:space="preserve">h,H,k </t>
    </r>
    <r>
      <rPr>
        <sz val="11"/>
        <color theme="1"/>
        <rFont val="Calibri"/>
        <family val="2"/>
        <scheme val="minor"/>
      </rPr>
      <t>=</t>
    </r>
  </si>
  <si>
    <r>
      <t>F</t>
    </r>
    <r>
      <rPr>
        <vertAlign val="subscript"/>
        <sz val="11"/>
        <color indexed="8"/>
        <rFont val="Calibri"/>
        <family val="2"/>
      </rPr>
      <t>ax,H,RK</t>
    </r>
  </si>
  <si>
    <r>
      <t>F</t>
    </r>
    <r>
      <rPr>
        <vertAlign val="subscript"/>
        <sz val="11"/>
        <color indexed="8"/>
        <rFont val="Calibri"/>
        <family val="2"/>
      </rPr>
      <t>v,H,Rk</t>
    </r>
    <r>
      <rPr>
        <sz val="11"/>
        <color theme="1"/>
        <rFont val="Calibri"/>
        <family val="2"/>
        <scheme val="minor"/>
      </rPr>
      <t xml:space="preserve"> </t>
    </r>
  </si>
  <si>
    <r>
      <rPr>
        <sz val="11"/>
        <color indexed="8"/>
        <rFont val="Symbol"/>
        <family val="1"/>
        <charset val="2"/>
      </rPr>
      <t>S</t>
    </r>
    <r>
      <rPr>
        <sz val="11"/>
        <color theme="1"/>
        <rFont val="Calibri"/>
        <family val="2"/>
        <scheme val="minor"/>
      </rPr>
      <t xml:space="preserve"> F</t>
    </r>
    <r>
      <rPr>
        <vertAlign val="subscript"/>
        <sz val="11"/>
        <color indexed="8"/>
        <rFont val="Calibri"/>
        <family val="2"/>
      </rPr>
      <t>v,H,Rk</t>
    </r>
  </si>
  <si>
    <t>EC 5</t>
  </si>
  <si>
    <r>
      <t>F</t>
    </r>
    <r>
      <rPr>
        <vertAlign val="subscript"/>
        <sz val="11"/>
        <color indexed="8"/>
        <rFont val="Calibri"/>
        <family val="2"/>
      </rPr>
      <t>2,KCC,RK</t>
    </r>
  </si>
  <si>
    <r>
      <t>k</t>
    </r>
    <r>
      <rPr>
        <vertAlign val="subscript"/>
        <sz val="11"/>
        <color indexed="8"/>
        <rFont val="Calibri"/>
        <family val="2"/>
      </rPr>
      <t>H,2</t>
    </r>
  </si>
  <si>
    <r>
      <t>F</t>
    </r>
    <r>
      <rPr>
        <vertAlign val="subscript"/>
        <sz val="11"/>
        <color indexed="8"/>
        <rFont val="Calibri"/>
        <family val="2"/>
      </rPr>
      <t>2,H,Rk</t>
    </r>
  </si>
  <si>
    <r>
      <t>F</t>
    </r>
    <r>
      <rPr>
        <b/>
        <vertAlign val="subscript"/>
        <sz val="11"/>
        <color indexed="8"/>
        <rFont val="Calibri"/>
        <family val="2"/>
      </rPr>
      <t>2,Rk</t>
    </r>
  </si>
  <si>
    <t>Design values F2,Rd</t>
  </si>
  <si>
    <t>[-]</t>
  </si>
  <si>
    <t>RICON Connector:</t>
  </si>
  <si>
    <r>
      <t>l</t>
    </r>
    <r>
      <rPr>
        <vertAlign val="subscript"/>
        <sz val="11"/>
        <rFont val="Calibri"/>
        <family val="2"/>
      </rPr>
      <t xml:space="preserve">ef </t>
    </r>
  </si>
  <si>
    <r>
      <t>F</t>
    </r>
    <r>
      <rPr>
        <vertAlign val="subscript"/>
        <sz val="11"/>
        <rFont val="Calibri"/>
        <family val="2"/>
      </rPr>
      <t>ax,H,RK</t>
    </r>
  </si>
  <si>
    <r>
      <t>F</t>
    </r>
    <r>
      <rPr>
        <vertAlign val="subscript"/>
        <sz val="11"/>
        <rFont val="Calibri"/>
        <family val="2"/>
      </rPr>
      <t>v,H,Rk</t>
    </r>
    <r>
      <rPr>
        <sz val="11"/>
        <rFont val="Calibri"/>
        <family val="2"/>
      </rPr>
      <t xml:space="preserve"> </t>
    </r>
  </si>
  <si>
    <r>
      <rPr>
        <sz val="11"/>
        <rFont val="Symbol"/>
        <family val="1"/>
        <charset val="2"/>
      </rPr>
      <t>S</t>
    </r>
    <r>
      <rPr>
        <sz val="11"/>
        <rFont val="Calibri"/>
        <family val="2"/>
      </rPr>
      <t xml:space="preserve"> F</t>
    </r>
    <r>
      <rPr>
        <vertAlign val="subscript"/>
        <sz val="11"/>
        <rFont val="Calibri"/>
        <family val="2"/>
      </rPr>
      <t>v,H,Rk</t>
    </r>
  </si>
  <si>
    <r>
      <t>F</t>
    </r>
    <r>
      <rPr>
        <b/>
        <vertAlign val="subscript"/>
        <sz val="11"/>
        <color indexed="8"/>
        <rFont val="Calibri"/>
        <family val="2"/>
      </rPr>
      <t>2,R,k</t>
    </r>
  </si>
  <si>
    <t>WALCO V Connector:</t>
  </si>
  <si>
    <r>
      <t>d</t>
    </r>
    <r>
      <rPr>
        <vertAlign val="subscript"/>
        <sz val="11"/>
        <color indexed="8"/>
        <rFont val="Calibri"/>
        <family val="2"/>
      </rPr>
      <t>CS</t>
    </r>
  </si>
  <si>
    <r>
      <t>l</t>
    </r>
    <r>
      <rPr>
        <vertAlign val="subscript"/>
        <sz val="11"/>
        <color indexed="8"/>
        <rFont val="Calibri"/>
        <family val="2"/>
      </rPr>
      <t xml:space="preserve">ef,(CS) </t>
    </r>
  </si>
  <si>
    <r>
      <t>f</t>
    </r>
    <r>
      <rPr>
        <vertAlign val="subscript"/>
        <sz val="11"/>
        <color indexed="8"/>
        <rFont val="Calibri"/>
        <family val="2"/>
      </rPr>
      <t>h,CS,k</t>
    </r>
  </si>
  <si>
    <r>
      <t>F</t>
    </r>
    <r>
      <rPr>
        <vertAlign val="subscript"/>
        <sz val="11"/>
        <color indexed="8"/>
        <rFont val="Calibri"/>
        <family val="2"/>
      </rPr>
      <t>v,CS,Rk</t>
    </r>
    <r>
      <rPr>
        <sz val="11"/>
        <color theme="1"/>
        <rFont val="Calibri"/>
        <family val="2"/>
        <scheme val="minor"/>
      </rPr>
      <t xml:space="preserve"> </t>
    </r>
  </si>
  <si>
    <t>My</t>
  </si>
  <si>
    <t>[N/mm²]</t>
  </si>
  <si>
    <t>[Nmm]</t>
  </si>
  <si>
    <t>Walco V60, Fall 1, 2</t>
  </si>
  <si>
    <t>Walco V80, Fall 1, 2</t>
  </si>
  <si>
    <t xml:space="preserve">WALCO V 60 (Vers 1-2) 60 </t>
  </si>
  <si>
    <t>(60 mm Holz)</t>
  </si>
  <si>
    <t>WALCO V 60 (Vers 1-2) 45</t>
  </si>
  <si>
    <t>(45 mm Holz)</t>
  </si>
  <si>
    <t>WALCO V 60 (Vers 3)</t>
  </si>
  <si>
    <t>WALCO V 60 (Vers 4-6)</t>
  </si>
  <si>
    <t>WALCO V 60 (Vers 1-2) 60 VK</t>
  </si>
  <si>
    <t>WALCO V 80 (Vers 1-2) 60</t>
  </si>
  <si>
    <t>WALCO V 80 (Vers 1-2) 61</t>
  </si>
  <si>
    <t>WALCO V 80 (Vers 1-2) 45</t>
  </si>
  <si>
    <t>WALCO V 80 (Vers 1-2) 60 VK</t>
  </si>
  <si>
    <t>Walco V60, Fall 3</t>
  </si>
  <si>
    <t>Walco V80, Fall 3</t>
  </si>
  <si>
    <t>WALCO V 80 (Vers 3)</t>
  </si>
  <si>
    <t>WALCO V 80 (Vers. 4-6)</t>
  </si>
  <si>
    <r>
      <t>M</t>
    </r>
    <r>
      <rPr>
        <vertAlign val="subscript"/>
        <sz val="11"/>
        <rFont val="Calibri"/>
        <family val="2"/>
      </rPr>
      <t>y,k</t>
    </r>
  </si>
  <si>
    <r>
      <t>f</t>
    </r>
    <r>
      <rPr>
        <vertAlign val="subscript"/>
        <sz val="11"/>
        <rFont val="Calibri"/>
        <family val="2"/>
      </rPr>
      <t>h,H,k</t>
    </r>
  </si>
  <si>
    <r>
      <t>F</t>
    </r>
    <r>
      <rPr>
        <vertAlign val="subscript"/>
        <sz val="11"/>
        <rFont val="Calibri"/>
        <family val="2"/>
      </rPr>
      <t>ax,RK</t>
    </r>
  </si>
  <si>
    <r>
      <t>F</t>
    </r>
    <r>
      <rPr>
        <vertAlign val="subscript"/>
        <sz val="11"/>
        <rFont val="Calibri"/>
        <family val="2"/>
      </rPr>
      <t>v,Rk</t>
    </r>
    <r>
      <rPr>
        <sz val="11"/>
        <rFont val="Calibri"/>
        <family val="2"/>
      </rPr>
      <t xml:space="preserve"> </t>
    </r>
  </si>
  <si>
    <t>WALCO V 60 (Vers 1-2;4-6)</t>
  </si>
  <si>
    <t>(60 + 45 mm Holz)</t>
  </si>
  <si>
    <t>Walco V60, Fall 4, 5</t>
  </si>
  <si>
    <t>Walco V80, Fall 4, 5</t>
  </si>
  <si>
    <t>WALCO V 80 (Vers. 1-2;4-6)</t>
  </si>
  <si>
    <t>WALCO V 80 (Vers. 3)</t>
  </si>
  <si>
    <r>
      <rPr>
        <sz val="11"/>
        <color indexed="8"/>
        <rFont val="Symbol"/>
        <family val="1"/>
        <charset val="2"/>
      </rPr>
      <t>S</t>
    </r>
    <r>
      <rPr>
        <sz val="11"/>
        <color theme="1"/>
        <rFont val="Calibri"/>
        <family val="2"/>
        <scheme val="minor"/>
      </rPr>
      <t xml:space="preserve"> F</t>
    </r>
    <r>
      <rPr>
        <vertAlign val="subscript"/>
        <sz val="11"/>
        <color indexed="8"/>
        <rFont val="Calibri"/>
        <family val="2"/>
      </rPr>
      <t>v,CS,Rk</t>
    </r>
  </si>
  <si>
    <r>
      <t>F</t>
    </r>
    <r>
      <rPr>
        <vertAlign val="subscript"/>
        <sz val="11"/>
        <color indexed="8"/>
        <rFont val="Calibri"/>
        <family val="2"/>
      </rPr>
      <t>2,V,Rk</t>
    </r>
  </si>
  <si>
    <t>Abminder-ungsfaktor f2</t>
  </si>
  <si>
    <t>Walco V60, Fall 6</t>
  </si>
  <si>
    <t>Walco V80, Fall 6</t>
  </si>
  <si>
    <t>WALCO V 80 (Vers 4-6)</t>
  </si>
  <si>
    <r>
      <t>Load direction F</t>
    </r>
    <r>
      <rPr>
        <b/>
        <vertAlign val="subscript"/>
        <sz val="18"/>
        <color indexed="8"/>
        <rFont val="Calibri"/>
        <family val="2"/>
      </rPr>
      <t xml:space="preserve">3 </t>
    </r>
    <r>
      <rPr>
        <b/>
        <sz val="18"/>
        <color indexed="8"/>
        <rFont val="Calibri"/>
        <family val="2"/>
      </rPr>
      <t>against the direction of insertion</t>
    </r>
  </si>
  <si>
    <r>
      <t>F</t>
    </r>
    <r>
      <rPr>
        <vertAlign val="subscript"/>
        <sz val="11"/>
        <color indexed="8"/>
        <rFont val="Calibri"/>
        <family val="2"/>
      </rPr>
      <t>3,KCC,RK</t>
    </r>
  </si>
  <si>
    <r>
      <t>k</t>
    </r>
    <r>
      <rPr>
        <vertAlign val="subscript"/>
        <sz val="11"/>
        <color indexed="8"/>
        <rFont val="Calibri"/>
        <family val="2"/>
      </rPr>
      <t xml:space="preserve">H,2 </t>
    </r>
    <r>
      <rPr>
        <sz val="11"/>
        <color indexed="8"/>
        <rFont val="Calibri"/>
        <family val="2"/>
      </rPr>
      <t>= k</t>
    </r>
    <r>
      <rPr>
        <vertAlign val="subscript"/>
        <sz val="11"/>
        <color indexed="8"/>
        <rFont val="Calibri"/>
        <family val="2"/>
      </rPr>
      <t>H,3</t>
    </r>
  </si>
  <si>
    <r>
      <t>F</t>
    </r>
    <r>
      <rPr>
        <vertAlign val="subscript"/>
        <sz val="11"/>
        <color indexed="8"/>
        <rFont val="Calibri"/>
        <family val="2"/>
      </rPr>
      <t>3,H,Rk</t>
    </r>
  </si>
  <si>
    <r>
      <t>F</t>
    </r>
    <r>
      <rPr>
        <b/>
        <vertAlign val="subscript"/>
        <sz val="11"/>
        <color indexed="8"/>
        <rFont val="Calibri"/>
        <family val="2"/>
      </rPr>
      <t>3,Rk</t>
    </r>
  </si>
  <si>
    <t>Design values F3,Rd (clip lock)</t>
  </si>
  <si>
    <t>Z.9.1.589</t>
  </si>
  <si>
    <r>
      <rPr>
        <sz val="11"/>
        <rFont val="Symbol"/>
        <family val="1"/>
        <charset val="2"/>
      </rPr>
      <t>S</t>
    </r>
    <r>
      <rPr>
        <sz val="11"/>
        <rFont val="Calibri"/>
        <family val="2"/>
      </rPr>
      <t xml:space="preserve"> F</t>
    </r>
    <r>
      <rPr>
        <vertAlign val="subscript"/>
        <sz val="11"/>
        <rFont val="Calibri"/>
        <family val="2"/>
      </rPr>
      <t>v,J,Rk</t>
    </r>
  </si>
  <si>
    <r>
      <t>F</t>
    </r>
    <r>
      <rPr>
        <vertAlign val="subscript"/>
        <sz val="11"/>
        <rFont val="Calibri"/>
        <family val="2"/>
      </rPr>
      <t>3,KCC,RK</t>
    </r>
  </si>
  <si>
    <r>
      <t>k</t>
    </r>
    <r>
      <rPr>
        <vertAlign val="subscript"/>
        <sz val="11"/>
        <rFont val="Calibri"/>
        <family val="2"/>
      </rPr>
      <t>H,2</t>
    </r>
    <r>
      <rPr>
        <sz val="11"/>
        <rFont val="Calibri"/>
        <family val="2"/>
      </rPr>
      <t xml:space="preserve"> = k</t>
    </r>
    <r>
      <rPr>
        <vertAlign val="subscript"/>
        <sz val="11"/>
        <rFont val="Calibri"/>
        <family val="2"/>
      </rPr>
      <t>H,3</t>
    </r>
  </si>
  <si>
    <r>
      <t>F</t>
    </r>
    <r>
      <rPr>
        <vertAlign val="subscript"/>
        <sz val="11"/>
        <rFont val="Calibri"/>
        <family val="2"/>
      </rPr>
      <t>3,H,Rk</t>
    </r>
  </si>
  <si>
    <r>
      <t>F</t>
    </r>
    <r>
      <rPr>
        <b/>
        <vertAlign val="subscript"/>
        <sz val="11"/>
        <rFont val="Calibri"/>
        <family val="2"/>
      </rPr>
      <t>3,Rk</t>
    </r>
  </si>
  <si>
    <r>
      <t>F</t>
    </r>
    <r>
      <rPr>
        <b/>
        <vertAlign val="subscript"/>
        <sz val="11"/>
        <rFont val="Calibri"/>
        <family val="2"/>
      </rPr>
      <t>3,k</t>
    </r>
  </si>
  <si>
    <t>Design values F3,Rd (1 stirrup)</t>
  </si>
  <si>
    <t>Design values F3,Rd (2 stirrups)</t>
  </si>
  <si>
    <r>
      <t>d</t>
    </r>
    <r>
      <rPr>
        <vertAlign val="subscript"/>
        <sz val="11"/>
        <rFont val="Calibri"/>
        <family val="2"/>
      </rPr>
      <t>CS</t>
    </r>
  </si>
  <si>
    <r>
      <t>l</t>
    </r>
    <r>
      <rPr>
        <vertAlign val="subscript"/>
        <sz val="11"/>
        <rFont val="Calibri"/>
        <family val="2"/>
      </rPr>
      <t xml:space="preserve">ef,(CS) </t>
    </r>
  </si>
  <si>
    <r>
      <t>f</t>
    </r>
    <r>
      <rPr>
        <vertAlign val="subscript"/>
        <sz val="11"/>
        <rFont val="Calibri"/>
        <family val="2"/>
      </rPr>
      <t>h,CS,k</t>
    </r>
  </si>
  <si>
    <r>
      <t>F</t>
    </r>
    <r>
      <rPr>
        <vertAlign val="subscript"/>
        <sz val="11"/>
        <rFont val="Calibri"/>
        <family val="2"/>
      </rPr>
      <t>v,CS,Rk</t>
    </r>
    <r>
      <rPr>
        <sz val="11"/>
        <rFont val="Calibri"/>
        <family val="2"/>
      </rPr>
      <t xml:space="preserve"> </t>
    </r>
  </si>
  <si>
    <t>WALCO V 60</t>
  </si>
  <si>
    <t>WALCO V 80</t>
  </si>
  <si>
    <t>Z.9.1.716</t>
  </si>
  <si>
    <r>
      <rPr>
        <sz val="11"/>
        <rFont val="Symbol"/>
        <family val="1"/>
        <charset val="2"/>
      </rPr>
      <t>S</t>
    </r>
    <r>
      <rPr>
        <sz val="11"/>
        <rFont val="Calibri"/>
        <family val="2"/>
      </rPr>
      <t xml:space="preserve"> F</t>
    </r>
    <r>
      <rPr>
        <vertAlign val="subscript"/>
        <sz val="11"/>
        <rFont val="Calibri"/>
        <family val="2"/>
      </rPr>
      <t>v,CS,Rk</t>
    </r>
  </si>
  <si>
    <r>
      <t>k</t>
    </r>
    <r>
      <rPr>
        <vertAlign val="subscript"/>
        <sz val="11"/>
        <rFont val="Calibri"/>
        <family val="2"/>
      </rPr>
      <t>H,2</t>
    </r>
    <r>
      <rPr>
        <sz val="11"/>
        <rFont val="Calibri"/>
        <family val="2"/>
      </rPr>
      <t>= k</t>
    </r>
    <r>
      <rPr>
        <vertAlign val="subscript"/>
        <sz val="11"/>
        <rFont val="Calibri"/>
        <family val="2"/>
      </rPr>
      <t>H,3</t>
    </r>
  </si>
  <si>
    <r>
      <t>F</t>
    </r>
    <r>
      <rPr>
        <vertAlign val="subscript"/>
        <sz val="11"/>
        <rFont val="Calibri"/>
        <family val="2"/>
      </rPr>
      <t>3,V,Rk</t>
    </r>
  </si>
  <si>
    <r>
      <t>F</t>
    </r>
    <r>
      <rPr>
        <b/>
        <vertAlign val="subscript"/>
        <sz val="11"/>
        <rFont val="Calibri"/>
        <family val="2"/>
      </rPr>
      <t>3,R,k</t>
    </r>
  </si>
  <si>
    <r>
      <t>Load direction F</t>
    </r>
    <r>
      <rPr>
        <b/>
        <vertAlign val="subscript"/>
        <sz val="18"/>
        <color indexed="8"/>
        <rFont val="Calibri"/>
        <family val="2"/>
      </rPr>
      <t>45</t>
    </r>
    <r>
      <rPr>
        <b/>
        <sz val="18"/>
        <color indexed="8"/>
        <rFont val="Calibri"/>
        <family val="2"/>
      </rPr>
      <t xml:space="preserve"> perpendicular to the direction of insertion</t>
    </r>
  </si>
  <si>
    <r>
      <t>n</t>
    </r>
    <r>
      <rPr>
        <vertAlign val="subscript"/>
        <sz val="11"/>
        <color indexed="8"/>
        <rFont val="Calibri"/>
        <family val="2"/>
      </rPr>
      <t>45</t>
    </r>
  </si>
  <si>
    <r>
      <t>a</t>
    </r>
    <r>
      <rPr>
        <vertAlign val="subscript"/>
        <sz val="11"/>
        <color indexed="8"/>
        <rFont val="Calibri"/>
        <family val="2"/>
      </rPr>
      <t>1</t>
    </r>
  </si>
  <si>
    <r>
      <t>a</t>
    </r>
    <r>
      <rPr>
        <vertAlign val="subscript"/>
        <sz val="11"/>
        <color indexed="8"/>
        <rFont val="Calibri"/>
        <family val="2"/>
      </rPr>
      <t>2</t>
    </r>
  </si>
  <si>
    <r>
      <t>e</t>
    </r>
    <r>
      <rPr>
        <vertAlign val="subscript"/>
        <sz val="11"/>
        <color indexed="8"/>
        <rFont val="Calibri"/>
        <family val="2"/>
      </rPr>
      <t>J,45</t>
    </r>
  </si>
  <si>
    <r>
      <t>F</t>
    </r>
    <r>
      <rPr>
        <vertAlign val="subscript"/>
        <sz val="11"/>
        <color indexed="8"/>
        <rFont val="Calibri"/>
        <family val="2"/>
      </rPr>
      <t>45,J,Rk</t>
    </r>
  </si>
  <si>
    <r>
      <t>a</t>
    </r>
    <r>
      <rPr>
        <vertAlign val="subscript"/>
        <sz val="11"/>
        <color indexed="8"/>
        <rFont val="Calibri"/>
        <family val="2"/>
      </rPr>
      <t xml:space="preserve">1 </t>
    </r>
  </si>
  <si>
    <r>
      <t>k</t>
    </r>
    <r>
      <rPr>
        <vertAlign val="subscript"/>
        <sz val="11"/>
        <color indexed="8"/>
        <rFont val="Calibri"/>
        <family val="2"/>
      </rPr>
      <t>H,45</t>
    </r>
  </si>
  <si>
    <r>
      <t>e</t>
    </r>
    <r>
      <rPr>
        <vertAlign val="subscript"/>
        <sz val="11"/>
        <color indexed="8"/>
        <rFont val="Calibri"/>
        <family val="2"/>
      </rPr>
      <t>H,45</t>
    </r>
  </si>
  <si>
    <r>
      <t>F</t>
    </r>
    <r>
      <rPr>
        <vertAlign val="subscript"/>
        <sz val="11"/>
        <color indexed="8"/>
        <rFont val="Calibri"/>
        <family val="2"/>
      </rPr>
      <t>45,H,Rk</t>
    </r>
  </si>
  <si>
    <r>
      <t xml:space="preserve"> F</t>
    </r>
    <r>
      <rPr>
        <vertAlign val="subscript"/>
        <sz val="11"/>
        <color indexed="8"/>
        <rFont val="Calibri"/>
        <family val="2"/>
      </rPr>
      <t>45,J,Rk</t>
    </r>
  </si>
  <si>
    <r>
      <t>F</t>
    </r>
    <r>
      <rPr>
        <vertAlign val="subscript"/>
        <sz val="11"/>
        <color indexed="8"/>
        <rFont val="Calibri"/>
        <family val="2"/>
      </rPr>
      <t>45,KCC,RK</t>
    </r>
  </si>
  <si>
    <r>
      <t>F</t>
    </r>
    <r>
      <rPr>
        <b/>
        <vertAlign val="subscript"/>
        <sz val="11"/>
        <color indexed="8"/>
        <rFont val="Calibri"/>
        <family val="2"/>
      </rPr>
      <t>45,Rk</t>
    </r>
  </si>
  <si>
    <t>Design values F45,Rd (centric)</t>
  </si>
  <si>
    <r>
      <t>char. Load for reinforcing plate F</t>
    </r>
    <r>
      <rPr>
        <vertAlign val="subscript"/>
        <sz val="11"/>
        <color indexed="8"/>
        <rFont val="Calibri"/>
        <family val="2"/>
      </rPr>
      <t>45,RC,Rk</t>
    </r>
    <r>
      <rPr>
        <sz val="11"/>
        <color theme="1"/>
        <rFont val="Calibri"/>
        <family val="2"/>
        <scheme val="minor"/>
      </rPr>
      <t xml:space="preserve"> =</t>
    </r>
  </si>
  <si>
    <t>kN</t>
  </si>
  <si>
    <r>
      <t>F</t>
    </r>
    <r>
      <rPr>
        <vertAlign val="subscript"/>
        <sz val="11"/>
        <color indexed="8"/>
        <rFont val="Calibri"/>
        <family val="2"/>
      </rPr>
      <t>v,J,mittel,Rk</t>
    </r>
  </si>
  <si>
    <t>Werte sind nicht erforderlich</t>
  </si>
  <si>
    <t>53/2+16+10+s</t>
  </si>
  <si>
    <t>36/2+16+10+s</t>
  </si>
  <si>
    <t>16/2+19+10+S</t>
  </si>
  <si>
    <t>52/2+19+10+S</t>
  </si>
  <si>
    <t>t=53 mm</t>
  </si>
  <si>
    <t>t=36 mm</t>
  </si>
  <si>
    <t>t=16 mm</t>
  </si>
  <si>
    <t>t=52 mm</t>
  </si>
  <si>
    <r>
      <t>a</t>
    </r>
    <r>
      <rPr>
        <vertAlign val="subscript"/>
        <sz val="11"/>
        <color indexed="8"/>
        <rFont val="Calibri"/>
        <family val="2"/>
      </rPr>
      <t>2</t>
    </r>
    <r>
      <rPr>
        <sz val="11"/>
        <color indexed="8"/>
        <rFont val="Calibri"/>
        <family val="2"/>
      </rPr>
      <t/>
    </r>
  </si>
  <si>
    <r>
      <t>F</t>
    </r>
    <r>
      <rPr>
        <vertAlign val="subscript"/>
        <sz val="11"/>
        <color indexed="8"/>
        <rFont val="Calibri"/>
        <family val="2"/>
      </rPr>
      <t>45,J,Rk</t>
    </r>
    <r>
      <rPr>
        <sz val="11"/>
        <color theme="1"/>
        <rFont val="Calibri"/>
        <family val="2"/>
        <scheme val="minor"/>
      </rPr>
      <t xml:space="preserve"> </t>
    </r>
  </si>
  <si>
    <r>
      <t>e</t>
    </r>
    <r>
      <rPr>
        <vertAlign val="subscript"/>
        <sz val="11"/>
        <color indexed="8"/>
        <rFont val="Calibri"/>
        <family val="2"/>
      </rPr>
      <t>J,45,max</t>
    </r>
  </si>
  <si>
    <r>
      <t>F</t>
    </r>
    <r>
      <rPr>
        <vertAlign val="subscript"/>
        <sz val="11"/>
        <color indexed="8"/>
        <rFont val="Calibri"/>
        <family val="2"/>
      </rPr>
      <t>45,J,min,Rk</t>
    </r>
    <r>
      <rPr>
        <sz val="11"/>
        <color theme="1"/>
        <rFont val="Calibri"/>
        <family val="2"/>
        <scheme val="minor"/>
      </rPr>
      <t xml:space="preserve"> </t>
    </r>
  </si>
  <si>
    <t>s</t>
  </si>
  <si>
    <r>
      <t>e</t>
    </r>
    <r>
      <rPr>
        <vertAlign val="subscript"/>
        <sz val="11"/>
        <color indexed="8"/>
        <rFont val="Calibri"/>
        <family val="2"/>
      </rPr>
      <t>H,45,max</t>
    </r>
  </si>
  <si>
    <r>
      <t>F</t>
    </r>
    <r>
      <rPr>
        <vertAlign val="subscript"/>
        <sz val="11"/>
        <color indexed="8"/>
        <rFont val="Calibri"/>
        <family val="2"/>
      </rPr>
      <t>v,H,mittel,Rk</t>
    </r>
  </si>
  <si>
    <t>ESCO/RP-Tec</t>
  </si>
  <si>
    <t>Schüco</t>
  </si>
  <si>
    <r>
      <t>F</t>
    </r>
    <r>
      <rPr>
        <vertAlign val="subscript"/>
        <sz val="11"/>
        <color indexed="8"/>
        <rFont val="Calibri"/>
        <family val="2"/>
      </rPr>
      <t>ax,H,mittel,RK</t>
    </r>
  </si>
  <si>
    <r>
      <t>F</t>
    </r>
    <r>
      <rPr>
        <vertAlign val="subscript"/>
        <sz val="11"/>
        <color indexed="8"/>
        <rFont val="Calibri"/>
        <family val="2"/>
      </rPr>
      <t>45,H,Rk</t>
    </r>
    <r>
      <rPr>
        <sz val="11"/>
        <color theme="1"/>
        <rFont val="Calibri"/>
        <family val="2"/>
        <scheme val="minor"/>
      </rPr>
      <t xml:space="preserve"> </t>
    </r>
  </si>
  <si>
    <r>
      <t>F</t>
    </r>
    <r>
      <rPr>
        <vertAlign val="subscript"/>
        <sz val="11"/>
        <color indexed="8"/>
        <rFont val="Calibri"/>
        <family val="2"/>
      </rPr>
      <t>45,H,min,Rk</t>
    </r>
    <r>
      <rPr>
        <sz val="11"/>
        <color theme="1"/>
        <rFont val="Calibri"/>
        <family val="2"/>
        <scheme val="minor"/>
      </rPr>
      <t xml:space="preserve"> </t>
    </r>
  </si>
  <si>
    <t>without reinforcing plate and e=0 mm</t>
  </si>
  <si>
    <t>glass load without
reinforcing plate and emax</t>
  </si>
  <si>
    <t>glass load with
reinforcing plate and emax</t>
  </si>
  <si>
    <t>Design values F45,Rd (eccentric Glassloads)</t>
  </si>
  <si>
    <r>
      <t>F</t>
    </r>
    <r>
      <rPr>
        <b/>
        <vertAlign val="subscript"/>
        <sz val="11"/>
        <color indexed="8"/>
        <rFont val="Calibri"/>
        <family val="2"/>
      </rPr>
      <t>45,min,Rk</t>
    </r>
  </si>
  <si>
    <r>
      <t>F</t>
    </r>
    <r>
      <rPr>
        <b/>
        <vertAlign val="subscript"/>
        <sz val="11"/>
        <color indexed="8"/>
        <rFont val="Calibri"/>
        <family val="2"/>
      </rPr>
      <t>45,max,Rk</t>
    </r>
  </si>
  <si>
    <t>without reinf. Plate</t>
  </si>
  <si>
    <t>with reinf. Plate</t>
  </si>
  <si>
    <t>Total glass load [kg]</t>
  </si>
  <si>
    <t>without
reinf. Plate</t>
  </si>
  <si>
    <t>with
reinf. Plate</t>
  </si>
  <si>
    <t>Glasstärke t=</t>
  </si>
  <si>
    <t>eh =</t>
  </si>
  <si>
    <t>(16 mm Dichtung Esco-RP-Tec)</t>
  </si>
  <si>
    <r>
      <t>F</t>
    </r>
    <r>
      <rPr>
        <vertAlign val="subscript"/>
        <sz val="11"/>
        <color indexed="8"/>
        <rFont val="Calibri"/>
        <family val="2"/>
      </rPr>
      <t>4,eccentric,Rd</t>
    </r>
    <r>
      <rPr>
        <sz val="11"/>
        <color theme="1"/>
        <rFont val="Calibri"/>
        <family val="2"/>
        <scheme val="minor"/>
      </rPr>
      <t xml:space="preserve"> for glass thickness t = 65 mm</t>
    </r>
  </si>
  <si>
    <t>without reinforcing plate</t>
  </si>
  <si>
    <r>
      <t>F</t>
    </r>
    <r>
      <rPr>
        <vertAlign val="subscript"/>
        <sz val="11"/>
        <color indexed="8"/>
        <rFont val="Calibri"/>
        <family val="2"/>
      </rPr>
      <t>45,min,Rk</t>
    </r>
  </si>
  <si>
    <r>
      <t>K</t>
    </r>
    <r>
      <rPr>
        <vertAlign val="subscript"/>
        <sz val="11"/>
        <color indexed="8"/>
        <rFont val="Calibri"/>
        <family val="2"/>
      </rPr>
      <t>eccentric</t>
    </r>
  </si>
  <si>
    <t>e</t>
  </si>
  <si>
    <r>
      <t>k</t>
    </r>
    <r>
      <rPr>
        <vertAlign val="subscript"/>
        <sz val="11"/>
        <color indexed="8"/>
        <rFont val="Calibri"/>
        <family val="2"/>
      </rPr>
      <t>e</t>
    </r>
  </si>
  <si>
    <r>
      <t>F</t>
    </r>
    <r>
      <rPr>
        <vertAlign val="subscript"/>
        <sz val="11"/>
        <color indexed="8"/>
        <rFont val="Calibri"/>
        <family val="2"/>
      </rPr>
      <t>4,eccentric,Rk</t>
    </r>
  </si>
  <si>
    <t>without 
reinf. Plate</t>
  </si>
  <si>
    <t>with 
reinf. Plate</t>
  </si>
  <si>
    <t>RICON 60/40</t>
  </si>
  <si>
    <t>RICON 80/40</t>
  </si>
  <si>
    <t>RICON 100/40</t>
  </si>
  <si>
    <t>RICON 120/40</t>
  </si>
  <si>
    <t>RICON 140/40</t>
  </si>
  <si>
    <t>RICON 160/40</t>
  </si>
  <si>
    <t>Double RICON 80/40</t>
  </si>
  <si>
    <t>Double RICON 100/40</t>
  </si>
  <si>
    <t>Double RICON 120/40</t>
  </si>
  <si>
    <t>Double RICON 140/40</t>
  </si>
  <si>
    <t>Double RICON 160/40</t>
  </si>
  <si>
    <t>Schüco Glaslasten</t>
  </si>
  <si>
    <t>(19 mm Dichtung, Schüco)</t>
  </si>
  <si>
    <r>
      <t>F</t>
    </r>
    <r>
      <rPr>
        <vertAlign val="subscript"/>
        <sz val="11"/>
        <color indexed="8"/>
        <rFont val="Calibri"/>
        <family val="2"/>
      </rPr>
      <t>4,eccentric,Rd</t>
    </r>
    <r>
      <rPr>
        <sz val="11"/>
        <color theme="1"/>
        <rFont val="Calibri"/>
        <family val="2"/>
        <scheme val="minor"/>
      </rPr>
      <t xml:space="preserve"> for glass thickness t &gt; 53 mm</t>
    </r>
  </si>
  <si>
    <t>with reinforcing plate</t>
  </si>
  <si>
    <t>kmod</t>
  </si>
  <si>
    <r>
      <t>F</t>
    </r>
    <r>
      <rPr>
        <vertAlign val="subscript"/>
        <sz val="11"/>
        <color indexed="8"/>
        <rFont val="Calibri"/>
        <family val="2"/>
      </rPr>
      <t>v,mittel,J,Rk</t>
    </r>
  </si>
  <si>
    <r>
      <t>F</t>
    </r>
    <r>
      <rPr>
        <vertAlign val="subscript"/>
        <sz val="11"/>
        <color indexed="8"/>
        <rFont val="Calibri"/>
        <family val="2"/>
      </rPr>
      <t>v,mittel,H,Rk</t>
    </r>
  </si>
  <si>
    <r>
      <t>F</t>
    </r>
    <r>
      <rPr>
        <vertAlign val="subscript"/>
        <sz val="11"/>
        <color indexed="8"/>
        <rFont val="Calibri"/>
        <family val="2"/>
      </rPr>
      <t>ax</t>
    </r>
    <r>
      <rPr>
        <vertAlign val="subscript"/>
        <sz val="11"/>
        <color indexed="8"/>
        <rFont val="Calibri"/>
        <family val="2"/>
      </rPr>
      <t>,H,mittel,Rk</t>
    </r>
  </si>
  <si>
    <r>
      <t>k</t>
    </r>
    <r>
      <rPr>
        <vertAlign val="subscript"/>
        <sz val="11"/>
        <color indexed="8"/>
        <rFont val="Calibri"/>
        <family val="2"/>
      </rPr>
      <t>H,45</t>
    </r>
    <r>
      <rPr>
        <sz val="11"/>
        <color indexed="8"/>
        <rFont val="Calibri"/>
        <family val="2"/>
      </rPr>
      <t/>
    </r>
  </si>
  <si>
    <r>
      <t>F</t>
    </r>
    <r>
      <rPr>
        <vertAlign val="subscript"/>
        <sz val="11"/>
        <color indexed="8"/>
        <rFont val="Calibri"/>
        <family val="2"/>
      </rPr>
      <t>45</t>
    </r>
    <r>
      <rPr>
        <vertAlign val="subscript"/>
        <sz val="11"/>
        <color indexed="8"/>
        <rFont val="Calibri"/>
        <family val="2"/>
      </rPr>
      <t>,H,Rk</t>
    </r>
  </si>
  <si>
    <r>
      <t>F</t>
    </r>
    <r>
      <rPr>
        <b/>
        <vertAlign val="subscript"/>
        <sz val="11"/>
        <color indexed="8"/>
        <rFont val="Calibri"/>
        <family val="2"/>
      </rPr>
      <t>45,R,k</t>
    </r>
  </si>
  <si>
    <t>140/60 VK</t>
  </si>
  <si>
    <t>140/60 EK+GK</t>
  </si>
  <si>
    <t>170/60 VK</t>
  </si>
  <si>
    <t>170/60 EK+GK</t>
  </si>
  <si>
    <t>200/60 VK</t>
  </si>
  <si>
    <t>200/60 EK+GK</t>
  </si>
  <si>
    <t>WALCO V 60  Vers. 1-2 60</t>
  </si>
  <si>
    <t>für 60 mm Holz</t>
  </si>
  <si>
    <t>WALCO V 60  Vers. 1-2 45</t>
  </si>
  <si>
    <t>für 45 mm Holz</t>
  </si>
  <si>
    <t>WALCO V 60 Vers. 3,6</t>
  </si>
  <si>
    <t>WALCO V 60 Vers. 4-5</t>
  </si>
  <si>
    <t>WALCO V 80 Vers 1-3 60</t>
  </si>
  <si>
    <t>WALCO V 80 Vers 1-3 61</t>
  </si>
  <si>
    <t>WALCO V 80 Vers 1-3 45</t>
  </si>
  <si>
    <t>WALCO V 80 Vers 1-3 60 VK</t>
  </si>
  <si>
    <t>WALCO V 80 Vers 4-5</t>
  </si>
  <si>
    <t>WALCO V 80 Vers 6</t>
  </si>
  <si>
    <t>WALCO V 60  Vers. 1-2</t>
  </si>
  <si>
    <t>für 60+45 mm Holz</t>
  </si>
  <si>
    <t>230/60 VK</t>
  </si>
  <si>
    <t>230/60 EK+GK</t>
  </si>
  <si>
    <r>
      <t>F</t>
    </r>
    <r>
      <rPr>
        <vertAlign val="subscript"/>
        <sz val="11"/>
        <color indexed="8"/>
        <rFont val="Calibri"/>
        <family val="2"/>
      </rPr>
      <t>V,Rk</t>
    </r>
  </si>
  <si>
    <t>F45,Rd</t>
  </si>
  <si>
    <t>Abminder-ungsfaktor f45</t>
  </si>
  <si>
    <t>Walvo V80, Fall 1, 2</t>
  </si>
  <si>
    <t>kmod =0,9</t>
  </si>
  <si>
    <t>200/80 VK</t>
  </si>
  <si>
    <t>200/80 EK+GK</t>
  </si>
  <si>
    <t>Walvo V80, Fall 3</t>
  </si>
  <si>
    <t>WALCO V80 L Version 1</t>
  </si>
  <si>
    <t>Walvo V80, Fall 4, 5</t>
  </si>
  <si>
    <t>230/80 VK</t>
  </si>
  <si>
    <t>230/80 EK+GK</t>
  </si>
  <si>
    <t>Walvo V80, Fall 6</t>
  </si>
  <si>
    <t>260/80 VK</t>
  </si>
  <si>
    <t>260/80 EK+GK</t>
  </si>
  <si>
    <t>290/80 VK</t>
  </si>
  <si>
    <t>290/80 EK+GK</t>
  </si>
  <si>
    <t>charateristic density rk =</t>
  </si>
  <si>
    <r>
      <t>F</t>
    </r>
    <r>
      <rPr>
        <vertAlign val="subscript"/>
        <sz val="11"/>
        <color indexed="8"/>
        <rFont val="Calibri"/>
        <family val="2"/>
      </rPr>
      <t>ax,J,RK1</t>
    </r>
  </si>
  <si>
    <r>
      <t>F</t>
    </r>
    <r>
      <rPr>
        <vertAlign val="subscript"/>
        <sz val="11"/>
        <color indexed="8"/>
        <rFont val="Calibri"/>
        <family val="2"/>
      </rPr>
      <t>v,J,Rk1</t>
    </r>
    <r>
      <rPr>
        <sz val="11"/>
        <color theme="1"/>
        <rFont val="Calibri"/>
        <family val="2"/>
        <scheme val="minor"/>
      </rPr>
      <t xml:space="preserve"> </t>
    </r>
  </si>
  <si>
    <r>
      <t>F</t>
    </r>
    <r>
      <rPr>
        <vertAlign val="subscript"/>
        <sz val="11"/>
        <color indexed="8"/>
        <rFont val="Calibri"/>
        <family val="2"/>
      </rPr>
      <t>ax,H,RK1</t>
    </r>
  </si>
  <si>
    <r>
      <t>F</t>
    </r>
    <r>
      <rPr>
        <vertAlign val="subscript"/>
        <sz val="11"/>
        <color indexed="8"/>
        <rFont val="Calibri"/>
        <family val="2"/>
      </rPr>
      <t>v,H,Rk</t>
    </r>
    <r>
      <rPr>
        <sz val="11"/>
        <color theme="1"/>
        <rFont val="Calibri"/>
        <family val="2"/>
        <scheme val="minor"/>
      </rPr>
      <t>1</t>
    </r>
  </si>
  <si>
    <r>
      <t>Centric and eccentric load F</t>
    </r>
    <r>
      <rPr>
        <b/>
        <vertAlign val="subscript"/>
        <sz val="18"/>
        <color indexed="8"/>
        <rFont val="Myriad Pro"/>
        <family val="2"/>
      </rPr>
      <t>45</t>
    </r>
    <r>
      <rPr>
        <b/>
        <sz val="18"/>
        <color indexed="8"/>
        <rFont val="Myriad Pro"/>
        <family val="2"/>
      </rPr>
      <t xml:space="preserve"> - perpendicular to the direction of insertion</t>
    </r>
  </si>
  <si>
    <t>Design value F45,Rd centric</t>
  </si>
  <si>
    <t>Screw length</t>
  </si>
  <si>
    <t>Header [mm]</t>
  </si>
  <si>
    <t>Joist [mm]</t>
  </si>
  <si>
    <t>RICON S 140/60 VS min
H: 10 SK 8x80; J: 10 SK 8x160</t>
  </si>
  <si>
    <t>RICON S 140/60 VS max
H: 10 SK 8x80; J: 10 SK 8x240</t>
  </si>
  <si>
    <t>RICON S 200/60 VS min
H: 16 SK 8x80; J: 16 SK 8x160</t>
  </si>
  <si>
    <t>RICON S 200/60 VS max
H: 16 SK 8x80; J: 16 SK 8x240</t>
  </si>
  <si>
    <t>GL30h</t>
  </si>
  <si>
    <t>RICON S 200/80 VS min
H: 16 SK 10x100; J: 16 SK10x200</t>
  </si>
  <si>
    <t>GL32c</t>
  </si>
  <si>
    <t>RICON S 200/80 VS max
H: 16 SK 10x100; J: 16 SK10x300</t>
  </si>
  <si>
    <t>GL32h</t>
  </si>
  <si>
    <t>RICON S 290/80 VS min
H: 25 SK 10x100; J: 25 SK10x200</t>
  </si>
  <si>
    <t>RICON S 290/80 VS max
H: 25 SK 10x100; J: 25 SK10x300</t>
  </si>
  <si>
    <t>RICON S 390/80 VS + ZP max
H: 28 SK 10x100; + 2 SK 10x400 
J: 28 SK 10x300 + 2 SK 10x450</t>
  </si>
  <si>
    <r>
      <t xml:space="preserve">Winkel </t>
    </r>
    <r>
      <rPr>
        <sz val="11"/>
        <color theme="1"/>
        <rFont val="Symbol"/>
        <family val="1"/>
        <charset val="2"/>
      </rPr>
      <t>a</t>
    </r>
    <r>
      <rPr>
        <sz val="11"/>
        <color theme="1"/>
        <rFont val="Calibri"/>
        <family val="2"/>
        <scheme val="minor"/>
      </rPr>
      <t>=</t>
    </r>
  </si>
  <si>
    <t>kax =</t>
  </si>
  <si>
    <r>
      <t xml:space="preserve">charateristic density </t>
    </r>
    <r>
      <rPr>
        <sz val="11"/>
        <color theme="1"/>
        <rFont val="Symbol"/>
        <family val="1"/>
        <charset val="2"/>
      </rPr>
      <t>r</t>
    </r>
    <r>
      <rPr>
        <sz val="11"/>
        <color theme="1"/>
        <rFont val="Calibri"/>
        <family val="2"/>
        <scheme val="minor"/>
      </rPr>
      <t>k =</t>
    </r>
  </si>
  <si>
    <r>
      <t>= n^0,9 x F</t>
    </r>
    <r>
      <rPr>
        <vertAlign val="subscript"/>
        <sz val="11"/>
        <color indexed="8"/>
        <rFont val="Calibri"/>
        <family val="2"/>
      </rPr>
      <t>v,J,RK</t>
    </r>
  </si>
  <si>
    <t>RICON S 390/80 VS + ZP min</t>
  </si>
  <si>
    <t>RICON S 390/80 VS + ZP max</t>
  </si>
  <si>
    <r>
      <t>= n^0,9 x F</t>
    </r>
    <r>
      <rPr>
        <vertAlign val="subscript"/>
        <sz val="11"/>
        <color indexed="8"/>
        <rFont val="Calibri"/>
        <family val="2"/>
      </rPr>
      <t>H,J,RK</t>
    </r>
  </si>
  <si>
    <t>Design value F2,Rd [kN]</t>
  </si>
  <si>
    <t>RICON S 390/80 VS + ZP max
H: 28 SK 10x100; + 2 SK 10x400 
J: 28 SK 10x200 + 2 SK 10x450</t>
  </si>
  <si>
    <t>F2,IS,Rk =</t>
  </si>
  <si>
    <t>Screwing Joist</t>
  </si>
  <si>
    <t>Joist: 10 SK 8x160</t>
  </si>
  <si>
    <t>Joist: 10 SK 8x240</t>
  </si>
  <si>
    <t>Joist: 16 SK 8x160</t>
  </si>
  <si>
    <t>Joist: 16 SK 8x240</t>
  </si>
  <si>
    <t>Joist: 16 SK 10x200</t>
  </si>
  <si>
    <t>Joist: 16 SK 10x300</t>
  </si>
  <si>
    <t>Joist: 25 SK 10x200</t>
  </si>
  <si>
    <t>Joist: 25 SK 10x300</t>
  </si>
  <si>
    <t>Joist: 28 SK 10x200</t>
  </si>
  <si>
    <t>Joist: 28 SK 10x300
+2 SK10x450</t>
  </si>
  <si>
    <t>Screwing Header</t>
  </si>
  <si>
    <r>
      <t>Load direction F</t>
    </r>
    <r>
      <rPr>
        <b/>
        <vertAlign val="subscript"/>
        <sz val="18"/>
        <color indexed="8"/>
        <rFont val="Calibri"/>
        <family val="2"/>
      </rPr>
      <t>1</t>
    </r>
    <r>
      <rPr>
        <b/>
        <sz val="18"/>
        <color indexed="8"/>
        <rFont val="Calibri"/>
        <family val="2"/>
      </rPr>
      <t xml:space="preserve"> perpendicular to the connector plate </t>
    </r>
  </si>
  <si>
    <r>
      <t>F</t>
    </r>
    <r>
      <rPr>
        <vertAlign val="subscript"/>
        <sz val="11"/>
        <color indexed="8"/>
        <rFont val="Calibri"/>
        <family val="2"/>
      </rPr>
      <t xml:space="preserve">t,Rk </t>
    </r>
  </si>
  <si>
    <t>Stainless steel</t>
  </si>
  <si>
    <r>
      <rPr>
        <sz val="11"/>
        <color theme="1"/>
        <rFont val="Symbol"/>
        <family val="1"/>
        <charset val="2"/>
      </rPr>
      <t>g</t>
    </r>
    <r>
      <rPr>
        <sz val="11"/>
        <color theme="1"/>
        <rFont val="Calibri"/>
        <family val="2"/>
        <scheme val="minor"/>
      </rPr>
      <t>M =</t>
    </r>
  </si>
  <si>
    <t>stainless steel</t>
  </si>
  <si>
    <r>
      <t>F</t>
    </r>
    <r>
      <rPr>
        <vertAlign val="subscript"/>
        <sz val="11"/>
        <rFont val="Calibri"/>
        <family val="2"/>
      </rPr>
      <t>3,KCC,Rk</t>
    </r>
    <r>
      <rPr>
        <sz val="11"/>
        <rFont val="Calibri"/>
        <family val="2"/>
      </rPr>
      <t xml:space="preserve"> </t>
    </r>
  </si>
  <si>
    <r>
      <t>F</t>
    </r>
    <r>
      <rPr>
        <vertAlign val="subscript"/>
        <sz val="11"/>
        <rFont val="Calibri"/>
        <family val="2"/>
      </rPr>
      <t>3,KCC,Rd</t>
    </r>
    <r>
      <rPr>
        <sz val="11"/>
        <rFont val="Calibri"/>
        <family val="2"/>
      </rPr>
      <t xml:space="preserve"> </t>
    </r>
  </si>
  <si>
    <t>1 Stirrup</t>
  </si>
  <si>
    <t>2 Stirrups</t>
  </si>
  <si>
    <t>RICON 40er A2 Version</t>
  </si>
  <si>
    <t>RICON 30er A2 Version</t>
  </si>
  <si>
    <t>RICON 20er A2 Version</t>
  </si>
  <si>
    <t>RICON 16er A2 Version</t>
  </si>
  <si>
    <r>
      <rPr>
        <sz val="11"/>
        <rFont val="Symbol"/>
        <family val="1"/>
        <charset val="2"/>
      </rPr>
      <t>g</t>
    </r>
    <r>
      <rPr>
        <vertAlign val="subscript"/>
        <sz val="11"/>
        <rFont val="Calibri"/>
        <family val="2"/>
        <scheme val="minor"/>
      </rPr>
      <t>M</t>
    </r>
    <r>
      <rPr>
        <sz val="11"/>
        <rFont val="Calibri"/>
        <family val="2"/>
        <scheme val="minor"/>
      </rPr>
      <t xml:space="preserve"> =</t>
    </r>
  </si>
  <si>
    <t>kax=</t>
  </si>
  <si>
    <t>RICON 60/40 carbon
H: 1xSK8x50, 2xSK5x50
J: 1xSK8x80; 2xSK5x80</t>
  </si>
  <si>
    <t>RICON 100/40 carbon
H: 2xSK8x50, 4xSK5x50
J: 2xSK8x80; 4xSK5x82</t>
  </si>
  <si>
    <t>RICON 140/40 carbon
H: 2xSK8x50, 8xSK5x50
J: 2xSK8x80; 8xSK5x80</t>
  </si>
  <si>
    <t>RICON 120/40 carbon
H: 2xSK8x50, 6xSK5x50
J: 2xSK8x80; 6xSK5x80</t>
  </si>
  <si>
    <t>RICON 80/40 carbon
H: 2xSK8x50, 2xSK5x50
J: 2xSK8x80; 2xSK5x80</t>
  </si>
  <si>
    <t>RICON 160/40 carbon
H: 2xSK8x50, 10xSK5x50
J: 2xSK8x80; 10xSK5x80</t>
  </si>
  <si>
    <t>RICON 140/40 SL carbon
H: 2xSK8x50, 8xSK5x50
J: 2xSK8x160; 8xSK5x80</t>
  </si>
  <si>
    <t>RICON 160/40 SL carbon
H: 2xSK8x50, 10xSK5x50
J: 2xSK8x160; 10xSK5x80</t>
  </si>
  <si>
    <t>Double RICON 80/40 carbon
H: 3x8x50; 4xSK5x50
J: 3xSK8x80; 4xSK5x80</t>
  </si>
  <si>
    <t>Double RICON 100/40 carbon
H: 3x8x50; 8xSK5x50
J: 3xSK8x80; 8xSK5x80</t>
  </si>
  <si>
    <t>Double RICON 120/40 carbon
H: 3x8x50; 12xSK5x50
J: 3xSK8x80; 12xSK5x80</t>
  </si>
  <si>
    <t>Double RICON 140/40 carbon
H: 3x8x50; 16xSK5x50
J: 3xSK8x80; 16xSK5x80</t>
  </si>
  <si>
    <t>Double RICON 160/40 carbon
H: 3x8x50; 20xSK5x50
J: 3xSK8x80; 20xSK5x80</t>
  </si>
  <si>
    <t>GIGANT 150/40
H: 4xSK10x80; 
J: 4xSK10x120</t>
  </si>
  <si>
    <t>GIGANT 120/40
H: 3xSK10x80 
J: 3xSK10x120</t>
  </si>
  <si>
    <t>GIGANT 180/40
H: 6xSK10x80 
J: 6xSK10x120</t>
  </si>
  <si>
    <t>GIGANT 120/40
H: 3xSK10x80
J: 3xSK8x120</t>
  </si>
  <si>
    <t>GIGANT 150/40 
without clip lock
H: 4xSK10x80
J: 4xSK10x120</t>
  </si>
  <si>
    <t>GIGANT 150/40 
with clip lock
H: 4xSK10x80
J: 4xSK10x120</t>
  </si>
  <si>
    <t>GIGANT 180/40 
without clip lock
H: 6xSK10x80
J: 6xSK10x120</t>
  </si>
  <si>
    <t>GIGANT 150/40 
with clip lock
H: 6xSK10x80
J: 5xSK10x120</t>
  </si>
  <si>
    <t>RICON S 140/60 EK min
H: 10 SK 8x80; J: 10 SK 8x160</t>
  </si>
  <si>
    <t>RICON S 140/60 EK max
H: 10 SK 8x80; J: 10 SK 8x240</t>
  </si>
  <si>
    <t>RICON S 200/60 EK min
H: 16 SK 8x80; J: 16 SK 8x160</t>
  </si>
  <si>
    <t>RICON S 200/60 EK max
H: 16 SK 8x80; J: 16 SK 8x240</t>
  </si>
  <si>
    <t>RICON S 290/80 EK 
H: 25 SK 10x100; J: 25 SK10x200</t>
  </si>
  <si>
    <t>RICON S 200/80 EK 
H: 16 SK 10x100; J: 16 SK10x200</t>
  </si>
  <si>
    <r>
      <t>= n^0,9 x F</t>
    </r>
    <r>
      <rPr>
        <vertAlign val="subscript"/>
        <sz val="11"/>
        <color theme="1"/>
        <rFont val="Calibri"/>
        <family val="2"/>
        <scheme val="minor"/>
      </rPr>
      <t>v,</t>
    </r>
    <r>
      <rPr>
        <vertAlign val="subscript"/>
        <sz val="11"/>
        <color indexed="8"/>
        <rFont val="Calibri"/>
        <family val="2"/>
      </rPr>
      <t>H,RK</t>
    </r>
  </si>
  <si>
    <t>RICON 60/40 A2
H: 1xSK 8x50, 2xSK5x50
J: 1xSK8x80; 2xSK5x80</t>
  </si>
  <si>
    <t>RICON 80/40 A2
H: 2xSK 8x50, 2xSK5x50
J: 2xSK8x80; 2xSK5x80</t>
  </si>
  <si>
    <t>RICON 100/40 A2
H: 2xSK 8x50, 4xSK5x50
J: 2xSK8x80; 4xSK5x80</t>
  </si>
  <si>
    <t>RICON 120/40 A2
H: 2xSK 8x50, 6xSK5x50
J: 2xSK8x80; 6xSK5x80</t>
  </si>
  <si>
    <t>RICON 140/40 A2
H: 2xSK 8x50, 8xSK5x50
J: 2xSK8x80; 8xSK5x80</t>
  </si>
  <si>
    <t>RICON 160/40 A2
H: 2xSK 8x50, 10xSK5x50
J: 2xSK8x80; 10xSK5x80</t>
  </si>
  <si>
    <t>Double RICON 80/40 A2
H: 3xSK 8x50; 4xSK5x50
J: 3xSK8x80; 4xSK5x80</t>
  </si>
  <si>
    <t>Double RICON 100/40 A2
H: 3xSK 8x50; 8xSK5x50
J: 3xSK8x80; 8xSK5x80</t>
  </si>
  <si>
    <t>Double RICON 120/40 A2
H: 3xSK 8x50; 12xSK5x50
J: 3xSK8x80; 12xSK5x80</t>
  </si>
  <si>
    <t>Double RICON 140/40 A2
H: 3xSK 8x50; 16xSK5x50
J: 3xSK8x80; 16xSK5x80</t>
  </si>
  <si>
    <t>Double RICON 160/40 A2
H: 3xSK 8x50; 20xSK5x50
J: 3xSK8x80; 20xSK5x80</t>
  </si>
  <si>
    <t>RICON 60/30 A2
H: 1xSK 8x50, 2xSK5x50
J: 1xSK8x80; 2xSK5x80</t>
  </si>
  <si>
    <t>RICON 80/30 A2
H: 2xSK 8x50, 2xSK5x50
J: 2xSK8x80; 2xSK5x80</t>
  </si>
  <si>
    <t>RICON 100/30 A2
H: 2xSK 8x50, 4xSK5x50
J: 2xSK8x80; 4xSK5x80</t>
  </si>
  <si>
    <t>RICON 120/30 A2
H: 2xSK 8x50, 6xSK5x50
J: 2xSK8x80; 6xSK5x80</t>
  </si>
  <si>
    <t>RICON 140/30 A2
H: 2xSK 8x50, 8xSK5x50
J: 2xSK8x80; 8xSK5x80</t>
  </si>
  <si>
    <t>RICON 160/30 A2
H: 2xSK 8x50, 10xSK5x50
J: 2xSK8x80; 10xSK5x80</t>
  </si>
  <si>
    <t>Double RICON 80/30 A2
H: 3xSK 8x50; 4xSK5x50
J: 3xSK8x80; 4xSK5x80</t>
  </si>
  <si>
    <t>Double RICON 100/30 A2
H: 3xSK 8x50; 8xSK5x50
J: 3xSK8x80; 8xSK5x80</t>
  </si>
  <si>
    <t>Double RICON 120/30 A2
H: 3xSK 8x50; 12xSK5x50
J: 3xSK8x80; 12xSK5x80</t>
  </si>
  <si>
    <t>Double RICON 140/30 A2
H: 3xSK 8x50; 16xSK5x50
J: 3xSK8x80; 16xSK5x80</t>
  </si>
  <si>
    <t>Double RICON 160/30 A2
H: 3xSK 8x50; 20xSK5x50
J: 3xSK8x80; 20xSK5x80</t>
  </si>
  <si>
    <t>RICON 70/20 A2
H: 3xSK5x50
J: 3xSK5x80</t>
  </si>
  <si>
    <t>RICON 66/16 A2
H: 3xSK5x50
J: 3xSK5x80</t>
  </si>
  <si>
    <r>
      <rPr>
        <sz val="11"/>
        <color theme="1"/>
        <rFont val="Symbol"/>
        <family val="1"/>
        <charset val="2"/>
      </rPr>
      <t>= g</t>
    </r>
    <r>
      <rPr>
        <sz val="11"/>
        <color theme="1"/>
        <rFont val="Calibri"/>
        <family val="2"/>
        <scheme val="minor"/>
      </rPr>
      <t xml:space="preserve">M </t>
    </r>
  </si>
  <si>
    <t>RICON :</t>
  </si>
  <si>
    <t>F2,KKC,RK</t>
  </si>
  <si>
    <t>F2,Rk</t>
  </si>
  <si>
    <t>Knapp Verbinder</t>
  </si>
  <si>
    <t>Char.  Werte [kN]</t>
  </si>
  <si>
    <t>GIGANT:</t>
  </si>
  <si>
    <t>RICON Edelstahl:</t>
  </si>
  <si>
    <t>Edelstahl</t>
  </si>
  <si>
    <t>Normalstahl</t>
  </si>
  <si>
    <t>RICON S EK</t>
  </si>
  <si>
    <t>RICON S VS</t>
  </si>
  <si>
    <t xml:space="preserve">Belastungswerte F2,Rd für GL24h [kN] </t>
  </si>
  <si>
    <t>RICON S 290/80 EK 
H: 20 SK 10x100; J: 20 SK10x200</t>
  </si>
  <si>
    <t>Belastungstabelle von KNAPP RICON, GIGANT und RICON S nach zukünftiger 
ETA 10-0189 (Gutachten Blaß vom 26.7.2018)</t>
  </si>
  <si>
    <t>RICON 60/40
H: 1xSK8x50, 2xSK5x50
J: 1xSK8x80; 2xSK5x80</t>
  </si>
  <si>
    <t>RICON 80/40 
H: 2xSK8x50, 2xSK5x50
J: 2xSK8x80; 2xSK5x80</t>
  </si>
  <si>
    <t>RICON 100/40 
H: 2xSK8x50, 4xSK5x50
J: 2xSK8x80; 4xSK5x82</t>
  </si>
  <si>
    <t>RICON 120/40 
H: 2xSK8x50, 6xSK5x50
J: 2xSK8x80; 6xSK5x80</t>
  </si>
  <si>
    <t>RICON 140/40 
H: 2xSK8x50, 8xSK5x50
J: 2xSK8x80; 8xSK5x80</t>
  </si>
  <si>
    <t>RICON 160/40 
H: 2xSK8x50, 10xSK5x50
J: 2xSK8x80; 10xSK5x80</t>
  </si>
  <si>
    <t>RICON 140/40 SL 
H: 2xSK8x80, 8xSK5x80
J: 2xSK8x160; 8xSK5x80</t>
  </si>
  <si>
    <t>RICON 160/40 SL 
H: 2xSK8x80, 10xSK5x80
J: 2xSK8x160; 10xSK5x80</t>
  </si>
  <si>
    <t>Double RICON 80/40 
H: 3x8x50; 4xSK5x50
J: 3xSK8x80; 4xSK5x80</t>
  </si>
  <si>
    <t>Double RICON 100/40 
H: 3x8x50; 8xSK5x50
J: 3xSK8x80; 8xSK5x80</t>
  </si>
  <si>
    <t>Double RICON 120/40 
H: 3x8x50; 12xSK5x50
J: 3xSK8x80; 12xSK5x80</t>
  </si>
  <si>
    <t>Double RICON 140/40 
H: 3x8x50; 16xSK5x50
J: 3xSK8x80; 16xSK5x80</t>
  </si>
  <si>
    <t>Double RICON 160/40 
H: 3x8x50; 20xSK5x50
J: 3xSK8x80; 20xSK5x80</t>
  </si>
  <si>
    <t>Ausmittige Glaslasten bis Glasstärken von 53 mm</t>
  </si>
  <si>
    <t>F4,Rk,ausmittig</t>
  </si>
  <si>
    <t>ohne VP</t>
  </si>
  <si>
    <t>mit VP</t>
  </si>
  <si>
    <t>ohne
VP</t>
  </si>
  <si>
    <t>mit
VP</t>
  </si>
  <si>
    <t>Total Glasgewicht [kg]</t>
  </si>
  <si>
    <t>Table for load-bearing capacity of KNAPP RICON, GIGANT and RICON S for future
ETA 10-0189 (export report of Blaß from 26.7.2018)</t>
  </si>
  <si>
    <r>
      <t xml:space="preserve">Service classes </t>
    </r>
    <r>
      <rPr>
        <sz val="14"/>
        <color rgb="FFFF0000"/>
        <rFont val="Calibri"/>
        <family val="2"/>
        <scheme val="minor"/>
      </rPr>
      <t>1+2</t>
    </r>
    <r>
      <rPr>
        <sz val="14"/>
        <color theme="1"/>
        <rFont val="Calibri"/>
        <family val="2"/>
        <scheme val="minor"/>
      </rPr>
      <t>: Indoor and outdoor roofed</t>
    </r>
  </si>
  <si>
    <t>Knapp connectors</t>
  </si>
  <si>
    <t>Standard steel</t>
  </si>
  <si>
    <t xml:space="preserve">Design values F2,Rd for GL24h [kN] </t>
  </si>
  <si>
    <t>RICON Stainless steel:</t>
  </si>
  <si>
    <t>Characteristic values [kN]</t>
  </si>
  <si>
    <r>
      <t xml:space="preserve">Service classes </t>
    </r>
    <r>
      <rPr>
        <sz val="14"/>
        <color rgb="FFFF0000"/>
        <rFont val="Calibri"/>
        <family val="2"/>
        <scheme val="minor"/>
      </rPr>
      <t>3</t>
    </r>
    <r>
      <rPr>
        <sz val="14"/>
        <color theme="1"/>
        <rFont val="Calibri"/>
        <family val="2"/>
        <scheme val="minor"/>
      </rPr>
      <t>: Outdoor</t>
    </r>
  </si>
  <si>
    <r>
      <t xml:space="preserve">Service classes </t>
    </r>
    <r>
      <rPr>
        <sz val="14"/>
        <color rgb="FFFF0000"/>
        <rFont val="Calibri"/>
        <family val="2"/>
        <scheme val="minor"/>
      </rPr>
      <t>1</t>
    </r>
    <r>
      <rPr>
        <sz val="14"/>
        <color theme="1"/>
        <rFont val="Calibri"/>
        <family val="2"/>
        <scheme val="minor"/>
      </rPr>
      <t xml:space="preserve">: Indoor </t>
    </r>
  </si>
  <si>
    <t>Total glass load per latch [kg]</t>
  </si>
  <si>
    <t>without
RP</t>
  </si>
  <si>
    <t>wtíth
RP</t>
  </si>
  <si>
    <t>without RP</t>
  </si>
  <si>
    <t>with RP</t>
  </si>
  <si>
    <t>F4,Rk,eccentric</t>
  </si>
  <si>
    <t>Eccentric glass load up to 53 mm glass thickness</t>
  </si>
  <si>
    <t>RICON 60/40 A2
HT: 1xSK 8x50, 2xSK5x50
NT: 1xSK8x80; 2xSK5x80</t>
  </si>
  <si>
    <t>RICON 100/40 A2
HT: 2xSK 8x50, 4xSK5x50
NT: 2xSK8x80; 4xSK5x80</t>
  </si>
  <si>
    <t>RICON 120/40 A2
HT: 2xSK 8x50, 6xSK5x50
NT: 2xSK8x80; 6xSK5x80</t>
  </si>
  <si>
    <t>RICON 140/40 A2
HT: 2xSK 8x50, 8xSK5x50
NT: 2xSK8x80; 8xSK5x80</t>
  </si>
  <si>
    <t>Doppel RICON 100/40 A2
HT: 3xSK 8x50; 8xSK5x50
NT: 3xSK8x80; 8xSK5x80</t>
  </si>
  <si>
    <t>Doppel RICON 120/40 A2
HT: 3xSK 8x50; 12xSK5x50
NT: 3xSK8x80; 12xSK5x80</t>
  </si>
  <si>
    <t>Doppel RICON 140/40 A2
HT: 3xSK 8x50; 16xSK5x50
NT: 3xSK8x80; 16xSK5x80</t>
  </si>
  <si>
    <t>GIGAJ:</t>
  </si>
  <si>
    <t>Belastungswerte in Einschubrichtung F2 für Brettschichtholz GL24h:</t>
  </si>
  <si>
    <t>Load-bearing values for insertion direction F2 for glulam GL24h:</t>
  </si>
  <si>
    <t>Load-bearing values perpendicular to the insertion direction F4 for glulam GL24h:</t>
  </si>
  <si>
    <t>Belastungswerte rechtwinklig zur Einschubrichtung F4 für Brettschichtholz GL24h:</t>
  </si>
  <si>
    <t>GIGANT 150/40 
mit Sperrklappe
H: 4xSK10x80
J: 4xSK10x120</t>
  </si>
  <si>
    <t>GIGANT 180/40 
mit Sperrklappe
H: 6xSK10x80
J: 6xSK10x120</t>
  </si>
  <si>
    <t>RICON:</t>
  </si>
  <si>
    <t>Knapp Verbinders</t>
  </si>
  <si>
    <t>RICON S EK:</t>
  </si>
  <si>
    <t>RICON S VS:</t>
  </si>
  <si>
    <t>50/180
50/200*</t>
  </si>
  <si>
    <t>50/220*</t>
  </si>
  <si>
    <t xml:space="preserve">50/260*
</t>
  </si>
  <si>
    <t xml:space="preserve">
50/300*
</t>
  </si>
  <si>
    <t>50/340*</t>
  </si>
  <si>
    <t>100/160</t>
  </si>
  <si>
    <t>100/220</t>
  </si>
  <si>
    <t>100/260*
120/220*</t>
  </si>
  <si>
    <t>50/80
50/100*</t>
  </si>
  <si>
    <t>80/50</t>
  </si>
  <si>
    <t>100/50</t>
  </si>
  <si>
    <t>50/100
20/120*</t>
  </si>
  <si>
    <t>50/120
50/140*</t>
  </si>
  <si>
    <t>50/140
50/160*</t>
  </si>
  <si>
    <t>50/160
50/180*</t>
  </si>
  <si>
    <t>120/230</t>
  </si>
  <si>
    <t>120/320</t>
  </si>
  <si>
    <t>100/400*
120/340</t>
  </si>
  <si>
    <t>120/480*
160/360*</t>
  </si>
  <si>
    <t>120/560*
160/420*</t>
  </si>
  <si>
    <t>120/50</t>
  </si>
  <si>
    <t>140/50</t>
  </si>
  <si>
    <t>160/50</t>
  </si>
  <si>
    <t>180/50</t>
  </si>
  <si>
    <t>NutzungCSlasse 1+2: Innenbereich und Außen überdacht</t>
  </si>
  <si>
    <t>RICON 60/40
HT: 1xCS8x50, 2xCS5x50
NT: 1xCS8x80; 2xCS5x80</t>
  </si>
  <si>
    <t>RICON 60/40
H: 1xCS8x50, 2xCS5x50
J: 1xCS8x80; 2xCS5x80</t>
  </si>
  <si>
    <t>RICON 80/40 
HT: 2xCS8x50, 2xCS5x50
NT: 2xCS8x80; 2xCS5x80</t>
  </si>
  <si>
    <t>RICON 80/40 
H: 2xCS8x50, 2xCS5x50
J: 2xCS8x80; 2xCS5x80</t>
  </si>
  <si>
    <t>RICON 100/40 
HT: 2xCS8x50, 4xCS5x50
NT: 2xCS8x80; 4xCS5x82</t>
  </si>
  <si>
    <t>RICON 100/40 
H: 2xCS8x50, 4xCS5x50
J: 2xCS8x80; 4xCS5x82</t>
  </si>
  <si>
    <t>RICON 120/40 
HT: 2xCS8x50, 6xCS5x50
NT: 2xCS8x80; 6xCS5x80</t>
  </si>
  <si>
    <t>RICON 120/40 
H: 2xCS8x50, 6xCS5x50
J: 2xCS8x80; 6xCS5x80</t>
  </si>
  <si>
    <t>RICON 140/40 
HT: 2xCS8x50, 8xCS5x50
NT: 2xCS8x80; 8xCS5x80</t>
  </si>
  <si>
    <t>RICON 140/40 
H: 2xCS8x50, 8xCS5x50
J: 2xCS8x80; 8xCS5x80</t>
  </si>
  <si>
    <t>RICON 160/40 
HT: 2xCS8x50, 10xCS5x50
NT: 2xCS8x80; 10xCS5x80</t>
  </si>
  <si>
    <t>RICON 160/40 
H: 2xCS8x50, 10xCS5x50
J: 2xCS8x80; 10xCS5x80</t>
  </si>
  <si>
    <t>RICON 140/40 SL 
HT: 2xCS8x80, 8xCS5x80
NT: 2xCS8x160; 8xCS5x80</t>
  </si>
  <si>
    <t>RICON 140/40 SL 
H: 2xCS8x80, 8xCS5x80
J: 2xCS8x160; 8xCS5x80</t>
  </si>
  <si>
    <t>RICON 160/40 SL 
HT: 2xCS8x80, 10xCS5x80
NT: 2xCS8x160; 10xCS5x80</t>
  </si>
  <si>
    <t>RICON 160/40 SL 
H: 2xCS8x80, 10xCS5x80
J: 2xCS8x160; 10xCS5x80</t>
  </si>
  <si>
    <t>Doppel RICON 80/40 
HT: 3x8x50; 4xCS5x50
NT: 3xCS8x80; 4xCS5x80</t>
  </si>
  <si>
    <t>Double RICON 80/40 
H: 3x8x50; 4xCS5x50
J: 3xCS8x80; 4xCS5x80</t>
  </si>
  <si>
    <t>Doppel RICON 100/40 
HT: 3x8x50; 8xCS5x50
NT: 3xCS8x80; 8xCS5x80</t>
  </si>
  <si>
    <t>Double RICON 100/40 
H: 3x8x50; 8xCS5x50
J: 3xCS8x80; 8xCS5x80</t>
  </si>
  <si>
    <t>Doppel RICON 120/40 
HT: 3x8x50; 12xCS5x50
NT: 3xCS8x80; 12xCS5x80</t>
  </si>
  <si>
    <t>Double RICON 120/40 
H: 3x8x50; 12xCS5x50
J: 3xCS8x80; 12xCS5x80</t>
  </si>
  <si>
    <t>Doppel RICON 140/40 
HT: 3x8x50; 16xCS5x50
NT: 3xCS8x80; 16xCS5x80</t>
  </si>
  <si>
    <t>Double RICON 140/40 
H: 3x8x50; 16xCS5x50
J: 3xCS8x80; 16xCS5x80</t>
  </si>
  <si>
    <t>Doppel RICON 160/40 
HT: 3x8x50; 20xCS5x50
NT: 3xCS8x80; 20xCS5x80</t>
  </si>
  <si>
    <t>Double RICON 160/40 
H: 3x8x50; 20xCS5x50
J: 3xCS8x80; 20xCS5x80</t>
  </si>
  <si>
    <t>RICON 60/40 A2
HT: 1xCS 8x50, 2xCS5x50
NT: 1xCS8x80; 2xCS5x80</t>
  </si>
  <si>
    <t>RICON 60/40 A2
H: 1xCS 8x50, 2xCS5x50
J: 1xCS8x80; 2xCS5x80</t>
  </si>
  <si>
    <t>RICON 80/40 A2
HT: 2xCS 8x50, 2xCS5x50
NT: 2xCS8x80; 2xCS5x80</t>
  </si>
  <si>
    <t>RICON 80/40 A2
H: 2xCS 8x50, 2xCS5x50
J: 2xCS8x80; 2xCS5x80</t>
  </si>
  <si>
    <t>RICON 100/40 A2
HT: 2xCS 8x50, 4xCS5x50
NT: 2xCS8x80; 4xCS5x80</t>
  </si>
  <si>
    <t>RICON 100/40 A2
H: 2xCS 8x50, 4xCS5x50
J: 2xCS8x80; 4xCS5x80</t>
  </si>
  <si>
    <t>RICON 120/40 A2
HT: 2xCS 8x50, 6xCS5x50
NT: 2xCS8x80; 6xCS5x80</t>
  </si>
  <si>
    <t>RICON 120/40 A2
H: 2xCS 8x50, 6xCS5x50
J: 2xCS8x80; 6xCS5x80</t>
  </si>
  <si>
    <t>RICON 140/40 A2
HT: 2xCS 8x50, 8xCS5x50
NT: 2xCS8x80; 8xCS5x80</t>
  </si>
  <si>
    <t>RICON 140/40 A2
H: 2xCS 8x50, 8xCS5x50
J: 2xCS8x80; 8xCS5x80</t>
  </si>
  <si>
    <t>RICON 160/40 A2
HT: 2xCS 8x50, 10xCS5x50
NT: 2xCS8x80; 10xCS5x80</t>
  </si>
  <si>
    <t>RICON 160/40 A2
H: 2xCS 8x50, 10xCS5x50
J: 2xCS8x80; 10xCS5x80</t>
  </si>
  <si>
    <t>Doppel RICON 80/40 A2
HT: 3xCS 8x50; 4xCS5x50
NT: 3xCS8x80; 4xCS5x80</t>
  </si>
  <si>
    <t>Double RICON 80/40 A2
H: 3xCS 8x50; 4xCS5x50
J: 3xCS8x80; 4xCS5x80</t>
  </si>
  <si>
    <t>Doppel RICON 100/40 A2
HT: 3xCS 8x50; 8xCS5x50
NT: 3xCS8x80; 8xCS5x80</t>
  </si>
  <si>
    <t>Double RICON 100/40 A2
H: 3xCS 8x50; 8xCS5x50
J: 3xCS8x80; 8xCS5x80</t>
  </si>
  <si>
    <t>Doppel RICON 120/40 A2
HT: 3xCS 8x50; 12xCS5x50
NT: 3xCS8x80; 12xCS5x80</t>
  </si>
  <si>
    <t>Double RICON 120/40 A2
H: 3xCS 8x50; 12xCS5x50
J: 3xCS8x80; 12xCS5x80</t>
  </si>
  <si>
    <t>Doppel RICON 140/40 A2
HT: 3xCS 8x50; 16xCS5x50
NT: 3xCS8x80; 16xCS5x80</t>
  </si>
  <si>
    <t>Double RICON 140/40 A2
H: 3xCS 8x50; 16xCS5x50
J: 3xCS8x80; 16xCS5x80</t>
  </si>
  <si>
    <t>Doppel RICON 160/40 A2
HT: 3xCS 8x50; 20xCS5x50
NT: 3xCS8x80; 20xCS5x80</t>
  </si>
  <si>
    <t>Double RICON 160/40 A2
H: 3xCS 8x50; 20xCS5x50
J: 3xCS8x80; 20xCS5x80</t>
  </si>
  <si>
    <t>RICON 60/30 A2
HT: 1xCS 8x50, 2xCS5x50
NT: 1xCS8x80; 2xCS5x80</t>
  </si>
  <si>
    <t>RICON 60/30 A2
H: 1xCS 8x50, 2xCS5x50
J: 1xCS8x80; 2xCS5x80</t>
  </si>
  <si>
    <t>RICON 80/30 A2
HT: 2xCS 8x50, 2xCS5x50
NT: 2xCS8x80; 2xCS5x80</t>
  </si>
  <si>
    <t>RICON 80/30 A2
H: 2xCS 8x50, 2xCS5x50
J: 2xCS8x80; 2xCS5x80</t>
  </si>
  <si>
    <t>RICON 100/30 A2
HT: 2xCS 8x50, 4xCS5x50
NT: 2xCS8x80; 4xCS5x80</t>
  </si>
  <si>
    <t>RICON 100/30 A2
H: 2xCS 8x50, 4xCS5x50
J: 2xCS8x80; 4xCS5x80</t>
  </si>
  <si>
    <t>RICON 120/30 A2
HT: 2xCS 8x50, 6xCS5x50
NT: 2xCS8x80; 6xCS5x80</t>
  </si>
  <si>
    <t>RICON 120/30 A2
H: 2xCS 8x50, 6xCS5x50
J: 2xCS8x80; 6xCS5x80</t>
  </si>
  <si>
    <t>RICON 140/30 A2
HT: 2xCS 8x50, 8xCS5x50
NT: 2xCS8x80; 8xCS5x80</t>
  </si>
  <si>
    <t>RICON 140/30 A2
H: 2xCS 8x50, 8xCS5x50
J: 2xCS8x80; 8xCS5x80</t>
  </si>
  <si>
    <t>RICON 160/30 A2
HT: 2xCS 8x50, 10xCS5x50
NT: 2xCS8x80; 10xCS5x80</t>
  </si>
  <si>
    <t>RICON 160/30 A2
H: 2xCS 8x50, 10xCS5x50
J: 2xCS8x80; 10xCS5x80</t>
  </si>
  <si>
    <t>Doppel RICON 80/30 A2
HT: 3xCS 8x50; 4xCS5x50
NT: 3xCS8x80; 4xCS5x80</t>
  </si>
  <si>
    <t>Double RICON 80/30 A2
H: 3xCS 8x50; 4xCS5x50
J: 3xCS8x80; 4xCS5x80</t>
  </si>
  <si>
    <t>Doppel RICON 100/30 A2
HT: 3xCS 8x50; 8xCS5x50
NT: 3xCS8x80; 8xCS5x80</t>
  </si>
  <si>
    <t>Double RICON 100/30 A2
H: 3xCS 8x50; 8xCS5x50
J: 3xCS8x80; 8xCS5x80</t>
  </si>
  <si>
    <t>Doppel RICON 120/30 A2
HT: 3xCS 8x50; 12xCS5x50
NT: 3xCS8x80; 12xCS5x80</t>
  </si>
  <si>
    <t>Double RICON 120/30 A2
H: 3xCS 8x50; 12xCS5x50
J: 3xCS8x80; 12xCS5x80</t>
  </si>
  <si>
    <t>Doppel RICON 140/30 A2
HT: 3xCS 8x50; 16xCS5x50
NT: 3xCS8x80; 16xCS5x80</t>
  </si>
  <si>
    <t>Double RICON 140/30 A2
H: 3xCS 8x50; 16xCS5x50
J: 3xCS8x80; 16xCS5x80</t>
  </si>
  <si>
    <t>Doppel RICON 160/30 A2
HT: 3xCS 8x50; 20xCS5x50
NT: 3xCS8x80; 20xCS5x80</t>
  </si>
  <si>
    <t>Double RICON 160/30 A2
H: 3xCS 8x50; 20xCS5x50
J: 3xCS8x80; 20xCS5x80</t>
  </si>
  <si>
    <t>RICON 70/20 A2
HT: 3xCS5x50
NT: 3xCS5x80</t>
  </si>
  <si>
    <t>RICON 70/20 A2
H: 3xCS5x50
J: 3xCS5x80</t>
  </si>
  <si>
    <t>RICON 66/16 A2
HT: 3xCS5x50
NT: 3xCS5x80</t>
  </si>
  <si>
    <t>RICON 66/16 A2
H: 3xCS5x50
J: 3xCS5x80</t>
  </si>
  <si>
    <t>NutzungCSlasse 3: Außenbereich</t>
  </si>
  <si>
    <t>GIGANT 120/40
HT: 3xCS10x80
NT: 3xCS8x120</t>
  </si>
  <si>
    <t>GIGANT 120/40
H: 3xCS10x80
J: 3xCS8x120</t>
  </si>
  <si>
    <t>GIGANT 150/40 
without clip lock
HT: 4xCS10x80
NT: 4xCS10x120</t>
  </si>
  <si>
    <t>GIGANT 150/40 
without clip lock
H: 4xCS10x80
J: 4xCS10x120</t>
  </si>
  <si>
    <t>GIGANT 150/40 
mit Sperrklappe
HT: 4xCS10x80
NT: 4xCS10x120</t>
  </si>
  <si>
    <t>GIGANT 150/40 
with clip lock
H: 4xCS10x80
J: 4xCS10x120</t>
  </si>
  <si>
    <t>GIGANT 180/40 
without clip lock
HT: 6xCS10x80
NT: 6xCS10x120</t>
  </si>
  <si>
    <t>GIGANT 180/40 
without clip lock
H: 6xCS10x80
J: 6xCS10x120</t>
  </si>
  <si>
    <t>GIGANT 150/40 
mit Sperrklappe
HT: 6xCS10x80
NT: 5xCS10x120</t>
  </si>
  <si>
    <t>GIGANT 150/40 
with clip lock
H: 6xCS10x80
J: 5xCS10x120</t>
  </si>
  <si>
    <t>RICON S 140/60 EK min
HT: 10 CS 8x80; NT: 10 CS 8x160</t>
  </si>
  <si>
    <t>RICON S 140/60 EK max
HT: 10 CS 8x80; NT: 10 CS 8x240</t>
  </si>
  <si>
    <t>RICON S 200/60 EK min
HT: 16 CS 8x80; NT: 16 CS 8x160</t>
  </si>
  <si>
    <t>RICON S 200/60 EK max
HT: 16 CS 8x80; NT: 16 CS 8x240</t>
  </si>
  <si>
    <t>RICON S 200/80 EK 
HT: 16 CS 10x100; NT: 16 CS10x200</t>
  </si>
  <si>
    <t>RICON S 290/80 EK 
HT: 20 CS 10x100; NT: 20 CS10x200</t>
  </si>
  <si>
    <t>RICON S 140/60 VS min
HT: 10 CS 8x80; NT: 10 CS 8x160</t>
  </si>
  <si>
    <t>RICON S 140/60 VS max
HT: 10 CS 8x80; NT: 10 CS 8x240</t>
  </si>
  <si>
    <t>RICON S 200/60 VS min
HT: 16 CS 8x80; NT: 16 CS 8x160</t>
  </si>
  <si>
    <t>RICON S 200/60 VS max
HT: 16 CS 8x80; NT: 16 CS 8x240</t>
  </si>
  <si>
    <t>RICON S 200/80 VS min
HT: 16 CS 10x100; NT: 16 CS10x200</t>
  </si>
  <si>
    <t>RICON S 200/80 VS max
HT: 16 CS 10x100; NT: 16 CS10x300</t>
  </si>
  <si>
    <t>RICON S 290/80 VS min
HT: 25 CS 10x100; NT: 25 CS10x200</t>
  </si>
  <si>
    <t>RICON S 290/80 VS max
HT: 25 CS 10x100; NT: 25 CS10x300</t>
  </si>
  <si>
    <t>RICON S 390/80 VS + ZP max
HT: 28 CS 10x100; + 2 CS 10x400 
NT: 28 CS 10x200 + 2 CS 10x450</t>
  </si>
  <si>
    <t>RICON S 390/80 VS + ZP max
H: 28 CS 10x100; + 2 CS 10x400 
J: 28 CS 10x200 + 2 CS 10x450</t>
  </si>
  <si>
    <t>RICON S 390/80 VS + ZP max
HT: 28 CS 10x100; + 2 CS 10x400 
NT: 28 CS 10x300 + 2 CS 10x450</t>
  </si>
  <si>
    <t>RICON S 390/80 VS + ZP max
H: 28 CS 10x100; + 2 CS 10x400 
J: 28 CS 10x300 + 2 CS 10x450</t>
  </si>
  <si>
    <t xml:space="preserve">NutzungCSlasse 1: Innenbereich </t>
  </si>
  <si>
    <t>section [mm]</t>
  </si>
  <si>
    <t>Min. joint cross</t>
  </si>
  <si>
    <t>Min. joint cross
section [mm]</t>
  </si>
  <si>
    <t>30/86</t>
  </si>
  <si>
    <t>30/90</t>
  </si>
  <si>
    <t>60/150</t>
  </si>
  <si>
    <t>100/260
120/220</t>
  </si>
  <si>
    <t>100/220
120/340</t>
  </si>
  <si>
    <t>120/800
140/680
160/600</t>
  </si>
  <si>
    <t xml:space="preserve">120/720
140/640
160/520
</t>
  </si>
  <si>
    <t>50/180</t>
  </si>
  <si>
    <t>50/220</t>
  </si>
  <si>
    <t xml:space="preserve">50/260
</t>
  </si>
  <si>
    <t xml:space="preserve">
50/300
</t>
  </si>
  <si>
    <t>50/340</t>
  </si>
  <si>
    <t>60/200</t>
  </si>
  <si>
    <t>80/200</t>
  </si>
  <si>
    <t>60/220</t>
  </si>
  <si>
    <t>80/220</t>
  </si>
  <si>
    <t>RICON S 290/80 VS max
H: 25 CS 10x100;
J: 25 CS10x300</t>
  </si>
  <si>
    <t>RICON S 290/80 VS min
H: 25 CS 10x100;
J: 25 CS10x200</t>
  </si>
  <si>
    <t>RICON S 200/80 VS max
H: 16 CS 10x100;
J: 16 CS10x300</t>
  </si>
  <si>
    <t>RICON S 200/80 VS min
H: 16 CS 10x100;
J: 16 CS10x200</t>
  </si>
  <si>
    <t>RICON S 200/60 VS max
H: 16 CS 8x80;
J: 16 CS 8x240</t>
  </si>
  <si>
    <t>RICON S 200/60 VS min
H: 16 CS 8x80;
J: 16 CS 8x160</t>
  </si>
  <si>
    <t>RICON S 140/60 VS max
H: 10 CS 8x80;
J: 10 CS 8x240</t>
  </si>
  <si>
    <t>RICON S 140/60 VS min
H: 10 CS 8x80; 
J: 10 CS 8x160</t>
  </si>
  <si>
    <t>RICON S 140/60 EK min
H: 10 CS 8x80;
J: 10 CS 8x160</t>
  </si>
  <si>
    <t>RICON S 140/60 EK max
H: 10 CS 8x80;
J: 10 CS 8x240</t>
  </si>
  <si>
    <t>RICON S 200/60 EK min
H: 16 CS 8x80;
J: 16 CS 8x160</t>
  </si>
  <si>
    <t>RICON S 200/60 EK max
H: 16 CS 8x80;
J: 16 CS 8x240</t>
  </si>
  <si>
    <t>RICON S 200/80 EK 
H: 16 CS 10x100;
J: 16 CS10x200</t>
  </si>
  <si>
    <t>RICON S 290/80 EK 
H: 20 CS 10x100;
J: 20 CS10x200</t>
  </si>
  <si>
    <t>50/100
50/120*</t>
  </si>
  <si>
    <t>Brettschichtholz kombiniert</t>
  </si>
  <si>
    <t>Brettschichtholz homogen</t>
  </si>
  <si>
    <t>GL28c</t>
  </si>
  <si>
    <t>GL30c</t>
  </si>
  <si>
    <t>Nadelholz KVH/ Vollholz</t>
  </si>
  <si>
    <t>Nutzungsklasse NKL:</t>
  </si>
  <si>
    <t>NKL</t>
  </si>
  <si>
    <t>Innenbereich</t>
  </si>
  <si>
    <t>Außenbereich überdacht</t>
  </si>
  <si>
    <t>Außenbreich</t>
  </si>
  <si>
    <t>Bereich</t>
  </si>
  <si>
    <t>LH D30</t>
  </si>
  <si>
    <t>Laubholz (z.B. Eiche)</t>
  </si>
  <si>
    <t>FST D70</t>
  </si>
  <si>
    <r>
      <t xml:space="preserve">Service classes </t>
    </r>
    <r>
      <rPr>
        <sz val="16"/>
        <color rgb="FFFF0000"/>
        <rFont val="Calibri"/>
        <family val="2"/>
        <scheme val="minor"/>
      </rPr>
      <t>1+2</t>
    </r>
    <r>
      <rPr>
        <sz val="16"/>
        <color theme="1"/>
        <rFont val="Calibri"/>
        <family val="2"/>
        <scheme val="minor"/>
      </rPr>
      <t>: Indoor and outdoor roofed</t>
    </r>
  </si>
  <si>
    <t>Indoor</t>
  </si>
  <si>
    <t>Outdoor</t>
  </si>
  <si>
    <t>Table for load-bearing capacity of KNAPP RICON for future ETA 10-0189 (expert report Blaß from 26.7.2018)</t>
  </si>
  <si>
    <r>
      <t xml:space="preserve">Load-bearing values for insertion direction </t>
    </r>
    <r>
      <rPr>
        <b/>
        <sz val="16"/>
        <color rgb="FFFF0000"/>
        <rFont val="Calibri"/>
        <family val="2"/>
        <scheme val="minor"/>
      </rPr>
      <t xml:space="preserve">F2 </t>
    </r>
  </si>
  <si>
    <t>Service class:</t>
  </si>
  <si>
    <t>Wood type:</t>
  </si>
  <si>
    <t>RICON stainless steel:</t>
  </si>
  <si>
    <t>Load-bearing values</t>
  </si>
  <si>
    <r>
      <t xml:space="preserve">perpendicular to the insertion direction </t>
    </r>
    <r>
      <rPr>
        <b/>
        <sz val="16"/>
        <color rgb="FFFF0000"/>
        <rFont val="Calibri"/>
        <family val="2"/>
        <scheme val="minor"/>
      </rPr>
      <t xml:space="preserve">F4 </t>
    </r>
  </si>
  <si>
    <t>Table for load-bearing capacity of KNAPP GIGANT for future ETA 10-0189 (expert report Blaß from 26.7.2018)</t>
  </si>
  <si>
    <t>Table for load-bearing capacity of KNAPP RICON S for future ETA 10-0189 (expert report Blaß from 26.7.2018)</t>
  </si>
  <si>
    <t>EN</t>
  </si>
  <si>
    <t>Glued laminated timber - combined</t>
  </si>
  <si>
    <t>Glued laminated timber - homogeneous</t>
  </si>
  <si>
    <t>Solid wood</t>
  </si>
  <si>
    <t>Glued laminated timber - homogenous</t>
  </si>
  <si>
    <t>Harwood (e.g. oak)</t>
  </si>
  <si>
    <r>
      <t>Load-bearing values for insertion direction</t>
    </r>
    <r>
      <rPr>
        <b/>
        <sz val="16"/>
        <color rgb="FFFF0000"/>
        <rFont val="Calibri"/>
        <family val="2"/>
        <scheme val="minor"/>
      </rPr>
      <t xml:space="preserve"> F2</t>
    </r>
  </si>
  <si>
    <r>
      <rPr>
        <sz val="11"/>
        <color theme="1"/>
        <rFont val="Symbol"/>
        <family val="1"/>
        <charset val="2"/>
      </rPr>
      <t>g</t>
    </r>
    <r>
      <rPr>
        <vertAlign val="subscript"/>
        <sz val="11"/>
        <color theme="1"/>
        <rFont val="Calibri"/>
        <family val="2"/>
        <scheme val="minor"/>
      </rPr>
      <t>M</t>
    </r>
    <r>
      <rPr>
        <sz val="11"/>
        <color theme="1"/>
        <rFont val="Calibri"/>
        <family val="2"/>
        <scheme val="minor"/>
      </rPr>
      <t xml:space="preserve"> =1,3 </t>
    </r>
  </si>
  <si>
    <r>
      <t xml:space="preserve"> </t>
    </r>
    <r>
      <rPr>
        <sz val="11"/>
        <color theme="1"/>
        <rFont val="Symbol"/>
        <family val="1"/>
        <charset val="2"/>
      </rPr>
      <t>g</t>
    </r>
    <r>
      <rPr>
        <vertAlign val="subscript"/>
        <sz val="11"/>
        <color theme="1"/>
        <rFont val="Calibri"/>
        <family val="2"/>
        <scheme val="minor"/>
      </rPr>
      <t>M</t>
    </r>
    <r>
      <rPr>
        <sz val="11"/>
        <color theme="1"/>
        <rFont val="Calibri"/>
        <family val="2"/>
        <scheme val="minor"/>
      </rPr>
      <t xml:space="preserve"> =1,3 </t>
    </r>
  </si>
  <si>
    <r>
      <rPr>
        <sz val="10"/>
        <color theme="1"/>
        <rFont val="Symbol"/>
        <family val="1"/>
        <charset val="2"/>
      </rPr>
      <t>g</t>
    </r>
    <r>
      <rPr>
        <vertAlign val="subscript"/>
        <sz val="10"/>
        <color theme="1"/>
        <rFont val="Calibri"/>
        <family val="2"/>
        <scheme val="minor"/>
      </rPr>
      <t>M</t>
    </r>
    <r>
      <rPr>
        <sz val="10"/>
        <color theme="1"/>
        <rFont val="Calibri"/>
        <family val="2"/>
        <scheme val="minor"/>
      </rPr>
      <t xml:space="preserve"> =1,3 </t>
    </r>
  </si>
  <si>
    <t>RICON carbon steel:</t>
  </si>
  <si>
    <t>RICON 60/40
H: 1xCS8x50, 2xCS5x50
J: 1xCS8x80, 2xCS5x80</t>
  </si>
  <si>
    <t>RICON 80/40 
H: 2xCS8x50, 2xCS5x50
J: 2xCS8x80, 2xCS5x80</t>
  </si>
  <si>
    <t>RICON 100/40 
H: 2xCS8x50, 4xCS5x50
J: 2xCS8x80, 4xCS5x82</t>
  </si>
  <si>
    <t>RICON 120/40 
H: 2xCS8x50, 6xCS5x50
J: 2xCS8x80, 6xCS5x80</t>
  </si>
  <si>
    <t>RICON 140/40 
H: 2xCS8x50, 8xCS5x50
J: 2xCS8x80, 8xCS5x80</t>
  </si>
  <si>
    <t>RICON 160/40 
H: 2xCS8x50, 10xCS5x50
J: 2xCS8x80, 10xCS5x80</t>
  </si>
  <si>
    <r>
      <rPr>
        <b/>
        <sz val="11"/>
        <rFont val="Calibri"/>
        <family val="2"/>
        <scheme val="minor"/>
      </rPr>
      <t xml:space="preserve">RICON 140/40 SL </t>
    </r>
    <r>
      <rPr>
        <sz val="11"/>
        <rFont val="Calibri"/>
        <family val="2"/>
        <scheme val="minor"/>
      </rPr>
      <t xml:space="preserve">
H: 2xCS8x50, 8xCS5x50
J: </t>
    </r>
    <r>
      <rPr>
        <b/>
        <sz val="11"/>
        <rFont val="Calibri"/>
        <family val="2"/>
        <scheme val="minor"/>
      </rPr>
      <t>2xCS8x160,</t>
    </r>
    <r>
      <rPr>
        <sz val="11"/>
        <rFont val="Calibri"/>
        <family val="2"/>
        <scheme val="minor"/>
      </rPr>
      <t xml:space="preserve"> 8xCS5x80</t>
    </r>
  </si>
  <si>
    <r>
      <rPr>
        <b/>
        <sz val="11"/>
        <rFont val="Calibri"/>
        <family val="2"/>
        <scheme val="minor"/>
      </rPr>
      <t xml:space="preserve">RICON 160/40 SL </t>
    </r>
    <r>
      <rPr>
        <sz val="11"/>
        <rFont val="Calibri"/>
        <family val="2"/>
        <scheme val="minor"/>
      </rPr>
      <t xml:space="preserve">
H: 2xCS8x50, 10xCS5x50
J: </t>
    </r>
    <r>
      <rPr>
        <b/>
        <sz val="11"/>
        <rFont val="Calibri"/>
        <family val="2"/>
        <scheme val="minor"/>
      </rPr>
      <t>2xCS8x160,</t>
    </r>
    <r>
      <rPr>
        <sz val="11"/>
        <rFont val="Calibri"/>
        <family val="2"/>
        <scheme val="minor"/>
      </rPr>
      <t xml:space="preserve"> 10xCS5x80</t>
    </r>
  </si>
  <si>
    <t>Double RICON 100/40 
H: 3xCS8x50, 8xCS5x50
J: 3xCS8x80, 8xCS5x80</t>
  </si>
  <si>
    <t>Double RICON 80/40 
H: 3xCS8x50, 4xCS5x50
J: 3xCS8x80, 4xCS5x80</t>
  </si>
  <si>
    <t>Double RICON 160/40 
H: 3xCS8x50, 20xCS5x50
J: 3xCS8x80, 20xCS5x80</t>
  </si>
  <si>
    <t>Double RICON 140/40 
H: 3xCS8x50, 16xCS5x50
J: 3xCS8x80, 16xCS5x80</t>
  </si>
  <si>
    <t>Double RICON 120/40 
H: 3xCS8x50, 12xCS5x50
J: 3xCS8x80, 12xCS5x80</t>
  </si>
  <si>
    <t>RICON 80/40 A2
H: 2xCS8x50, 2xCS5x50
J: 2xCS8x80, 2xCS5x80</t>
  </si>
  <si>
    <t>RICON 160/40 A2
H: 2xCS8x50, 10xCS5x50
J: 2xCS8x80, 10xCS5x80</t>
  </si>
  <si>
    <t>Double RICON 80/40 A2
H: 3xCS8x50, 4xCS5x50
J: 3xCS8x80, 4xCS5x80</t>
  </si>
  <si>
    <t>Double RICON 160/40 A2
H: 3xCS8x50, 20xCS5x50
J: 3xCS8x80, 20xCS5x80</t>
  </si>
  <si>
    <t>RICON 60/30 A2
H: 1xCS8x50, 2xCS5x50
J: 1xCS8x80, 2xCS5x80</t>
  </si>
  <si>
    <t>RICON 80/30 A2
H: 2xCS8x50, 2xCS5x50
J: 2xCS8x80, 2xCS5x80</t>
  </si>
  <si>
    <t>RICON 100/30 A2
H: 2xCS8x50, 4xCS5x50
J: 2xCS8x80, 4xCS5x80</t>
  </si>
  <si>
    <t>RICON 120/30 A2
H: 2xCS8x50, 6xCS5x50
J: 2xCS8x80, 6xCS5x80</t>
  </si>
  <si>
    <t>RICON 140/30 A2
H: 2xCS8x50, 8xCS5x50
J: 2xCS8x80, 8xCS5x80</t>
  </si>
  <si>
    <t>Double RICON 80/30 A2
H: 3xCS8x50, 4xCS5x50
J: 3xCS8x80, 4xCS5x80</t>
  </si>
  <si>
    <t>Double RICON 100/30 A2
H: 3xCS8x50, 8xCS5x50
J: 3xCS8x80, 8xCS5x80</t>
  </si>
  <si>
    <t>Double RICON 120/30 A2
H: 3xCS8x50, 12xCS5x50
J: 3xCS8x80, 12xCS5x80</t>
  </si>
  <si>
    <t>Double RICON 160/30 A2
H: 3xCS8x50, 20xCS5x50
J: 3xCS8x80, 20xCS5x80</t>
  </si>
  <si>
    <r>
      <rPr>
        <b/>
        <sz val="11"/>
        <rFont val="Calibri"/>
        <family val="2"/>
        <scheme val="minor"/>
      </rPr>
      <t xml:space="preserve">RICON 140/40 SL </t>
    </r>
    <r>
      <rPr>
        <sz val="11"/>
        <rFont val="Calibri"/>
        <family val="2"/>
        <scheme val="minor"/>
      </rPr>
      <t xml:space="preserve">
H: 2xCS8x80, 8xCS5x80
J: </t>
    </r>
    <r>
      <rPr>
        <b/>
        <sz val="11"/>
        <rFont val="Calibri"/>
        <family val="2"/>
        <scheme val="minor"/>
      </rPr>
      <t>2xCS8x160,</t>
    </r>
    <r>
      <rPr>
        <sz val="11"/>
        <rFont val="Calibri"/>
        <family val="2"/>
        <scheme val="minor"/>
      </rPr>
      <t xml:space="preserve"> 8xCS5x80</t>
    </r>
  </si>
  <si>
    <r>
      <rPr>
        <b/>
        <sz val="11"/>
        <rFont val="Calibri"/>
        <family val="2"/>
        <scheme val="minor"/>
      </rPr>
      <t xml:space="preserve">RICON 160/40 SL </t>
    </r>
    <r>
      <rPr>
        <sz val="11"/>
        <rFont val="Calibri"/>
        <family val="2"/>
        <scheme val="minor"/>
      </rPr>
      <t xml:space="preserve">
H: 2xCS8x80, 10xCS5x80
J: </t>
    </r>
    <r>
      <rPr>
        <b/>
        <sz val="11"/>
        <rFont val="Calibri"/>
        <family val="2"/>
        <scheme val="minor"/>
      </rPr>
      <t>2xCS8x160,</t>
    </r>
    <r>
      <rPr>
        <sz val="11"/>
        <rFont val="Calibri"/>
        <family val="2"/>
        <scheme val="minor"/>
      </rPr>
      <t xml:space="preserve"> 10xCS5x80</t>
    </r>
  </si>
  <si>
    <t>Double RICON 160/40 
H: 3xCS8x50; 20xCS5x50
J: 3xCS8x80; 20xCS5x80</t>
  </si>
  <si>
    <t>GIGANT 180/40 
with clip lock
H: 6xCS10x80
J: 5xCS10x120</t>
  </si>
  <si>
    <t>RICON 160/30 A2
H: 2xCS8x50, 10xCS5x50
J: 2xCS8x80, 10xCS5x80</t>
  </si>
  <si>
    <t>Double RICON 140/30 A2
H: 3xCS8x50, 16xCS5x50
J: 3xCS8x80, 16xCS5x80</t>
  </si>
  <si>
    <t>Carbon steel</t>
  </si>
  <si>
    <t>RICON S 140/60 VS min
H: 10xCS8x80
J: 10xCS8x160</t>
  </si>
  <si>
    <t>RICON S 140/60 VS max
H: 10xCS8x80
J: 10xCS8x240</t>
  </si>
  <si>
    <t>RICON S 200/60 VS min
H: 16xCS8x80
J: 16xCS8x160</t>
  </si>
  <si>
    <t>RICON S 200/60 VS max
H: 16xCS8x80
J: 16xCS8x240</t>
  </si>
  <si>
    <t>RICON S 200/80 VS min
H: 16xCS10x100
J: 16xCS10x200</t>
  </si>
  <si>
    <t>RICON S 200/80 VS max
H: 16xCS10x100
J: 16xCS10x300</t>
  </si>
  <si>
    <t>RICON S 290/80 VS min
H: 25xCS10x100
J: 25xCS10x200</t>
  </si>
  <si>
    <t>RICON S 290/80 VS max
H: 25xCS10x100
J: 25xCS10x300</t>
  </si>
  <si>
    <t>RICON S 390/80 VS + ZP max
H: 28xCS10x100 + 2xCS10x400 
J: 28xCS10x200 + 2xCS10x450</t>
  </si>
  <si>
    <t>RICON S 390/80 VS + ZP max
H: 28xCS10x100 + 2xCS10x400 
J: 28xCS10x300 + 2xCS10x450</t>
  </si>
  <si>
    <t>120/720
140/640
160/520</t>
  </si>
  <si>
    <t>RICON S 140/60 EK min
H: 10xCS8x80
J: 10xCS8x160</t>
  </si>
  <si>
    <t>RICON S 140/60 EK max
H: 10xCS8x80
J: 10xCS8x240</t>
  </si>
  <si>
    <t>RICON S 200/60 EK min
H: 16xCS8x80
J: 16xCS8x160</t>
  </si>
  <si>
    <t>RICON S 200/60 EK max
H: 16xCS8x80
J: 16xCS8x240</t>
  </si>
  <si>
    <t>RICON S 200/80 EK 
H: 16xCS10x100
J: 16xCS10x200</t>
  </si>
  <si>
    <t>RICON S 290/80 EK 
H: 20xCS10x100
J: 20xCS10x200</t>
  </si>
  <si>
    <r>
      <rPr>
        <b/>
        <sz val="11"/>
        <rFont val="Calibri"/>
        <family val="2"/>
        <scheme val="minor"/>
      </rPr>
      <t xml:space="preserve">RICON 160/40 SL </t>
    </r>
    <r>
      <rPr>
        <sz val="11"/>
        <rFont val="Calibri"/>
        <family val="2"/>
        <scheme val="minor"/>
      </rPr>
      <t xml:space="preserve">
HT: 2xSK8x50, 10xSK5x50
NT: </t>
    </r>
    <r>
      <rPr>
        <b/>
        <sz val="11"/>
        <rFont val="Calibri"/>
        <family val="2"/>
        <scheme val="minor"/>
      </rPr>
      <t>2xSK8x160,</t>
    </r>
    <r>
      <rPr>
        <sz val="11"/>
        <rFont val="Calibri"/>
        <family val="2"/>
        <scheme val="minor"/>
      </rPr>
      <t xml:space="preserve"> 10xSK5x80</t>
    </r>
  </si>
  <si>
    <r>
      <rPr>
        <b/>
        <sz val="11"/>
        <rFont val="Calibri"/>
        <family val="2"/>
        <scheme val="minor"/>
      </rPr>
      <t xml:space="preserve">RICON® 140/40 SL </t>
    </r>
    <r>
      <rPr>
        <sz val="11"/>
        <rFont val="Calibri"/>
        <family val="2"/>
        <scheme val="minor"/>
      </rPr>
      <t xml:space="preserve">
HT: 2xSK8x50, 8xSK5x50
NT: </t>
    </r>
    <r>
      <rPr>
        <b/>
        <sz val="11"/>
        <rFont val="Calibri"/>
        <family val="2"/>
        <scheme val="minor"/>
      </rPr>
      <t>2xSK8x160,</t>
    </r>
    <r>
      <rPr>
        <sz val="11"/>
        <rFont val="Calibri"/>
        <family val="2"/>
        <scheme val="minor"/>
      </rPr>
      <t xml:space="preserve"> 8xSK5x80</t>
    </r>
  </si>
  <si>
    <t>KNAPP® Verbinder</t>
  </si>
  <si>
    <t>RICON® Edelstahl:</t>
  </si>
  <si>
    <t>KNAPP®Verbinder</t>
  </si>
  <si>
    <t>Furnierschichtholz BauBuche</t>
  </si>
  <si>
    <t>Laminated veneer lumber BauBuche</t>
  </si>
  <si>
    <t>BauBuche</t>
  </si>
  <si>
    <t>Joist</t>
  </si>
  <si>
    <t>header</t>
  </si>
  <si>
    <t>column</t>
  </si>
  <si>
    <t>α =</t>
  </si>
  <si>
    <t>β =</t>
  </si>
  <si>
    <t>ε =</t>
  </si>
  <si>
    <t>kc =</t>
  </si>
  <si>
    <r>
      <t>K</t>
    </r>
    <r>
      <rPr>
        <vertAlign val="subscript"/>
        <sz val="11"/>
        <color theme="1"/>
        <rFont val="Calibri"/>
        <family val="2"/>
        <scheme val="minor"/>
      </rPr>
      <t xml:space="preserve">90 </t>
    </r>
    <r>
      <rPr>
        <sz val="11"/>
        <color theme="1"/>
        <rFont val="Calibri"/>
        <family val="2"/>
        <scheme val="minor"/>
      </rPr>
      <t>=</t>
    </r>
  </si>
  <si>
    <t>(für d=8 mm)</t>
  </si>
  <si>
    <t>(für d=10 mm)</t>
  </si>
  <si>
    <t>Nenner</t>
  </si>
  <si>
    <r>
      <t>f</t>
    </r>
    <r>
      <rPr>
        <vertAlign val="subscript"/>
        <sz val="11"/>
        <color theme="1"/>
        <rFont val="Calibri"/>
        <family val="2"/>
        <scheme val="minor"/>
      </rPr>
      <t xml:space="preserve">h,J,H,k </t>
    </r>
    <r>
      <rPr>
        <sz val="11"/>
        <color theme="1"/>
        <rFont val="Calibri"/>
        <family val="2"/>
        <scheme val="minor"/>
      </rPr>
      <t>=</t>
    </r>
  </si>
  <si>
    <r>
      <t>k</t>
    </r>
    <r>
      <rPr>
        <sz val="11"/>
        <color theme="1"/>
        <rFont val="Calibri"/>
        <family val="2"/>
      </rPr>
      <t>β =</t>
    </r>
  </si>
  <si>
    <t>GIGANT 150/40 
without clip lock
H: 4xSK10x80
J: 4xSK10x200</t>
  </si>
  <si>
    <t>GIGANT 180/40 
with clip lock
H: 6xSK10x80
J: 5xSK10x120</t>
  </si>
  <si>
    <t>GIGANT 180/40 
without clip lock
H: 6xSK10x80
J: 6xSK10x200</t>
  </si>
  <si>
    <t>RICON S 390/80 VS + ZP standard</t>
  </si>
  <si>
    <r>
      <rPr>
        <b/>
        <sz val="11"/>
        <rFont val="Calibri"/>
        <family val="2"/>
        <scheme val="minor"/>
      </rPr>
      <t>RICON® 120/40 SL</t>
    </r>
    <r>
      <rPr>
        <sz val="11"/>
        <rFont val="Calibri"/>
        <family val="2"/>
        <scheme val="minor"/>
      </rPr>
      <t xml:space="preserve">
HT: 2xSK8x50, 6xSK5x50
NT: </t>
    </r>
    <r>
      <rPr>
        <b/>
        <sz val="11"/>
        <rFont val="Calibri"/>
        <family val="2"/>
        <scheme val="minor"/>
      </rPr>
      <t>2xSK8x160</t>
    </r>
    <r>
      <rPr>
        <sz val="11"/>
        <rFont val="Calibri"/>
        <family val="2"/>
        <scheme val="minor"/>
      </rPr>
      <t>, 6xSK5x80</t>
    </r>
  </si>
  <si>
    <t>RICON 120/40 SL carbon
H: 2xSK8x50, 6xSK5x50
J: 2xSK8x160; 6xSK5x80</t>
  </si>
  <si>
    <t>RICON S 140/60 VK
H: 8 SK 8x80; J: 8 SK 8x160</t>
  </si>
  <si>
    <t>RICON S 200/60 VK
H: 9 SK 8x80; J: 9 SK 8x160</t>
  </si>
  <si>
    <t>RICON S 200/80 VK 
H: 9 SK 10x100; J: 9 SK10x200</t>
  </si>
  <si>
    <t>RICON S 290/80 VK 
H: 9 SK 10x100; J: 9 SK10x200</t>
  </si>
  <si>
    <t>RICON S 140/60 VK
H: 8 SK 8x80; J: 8 SK 8x240</t>
  </si>
  <si>
    <t>RICON S 200/60 VK
H: 9 SK 8x80; J: 9 SK 8x240</t>
  </si>
  <si>
    <t>RICON S 200/80 VK 
H: 9 SK 10x100; J: 9 SK10x300</t>
  </si>
  <si>
    <t>RICON® S VK: (RICON® S mit verschraubten Kragenbolzen)</t>
  </si>
  <si>
    <t>RICON® S VS: (RICON® S mit verschweißten Kragenbolzen)</t>
  </si>
  <si>
    <r>
      <t>F</t>
    </r>
    <r>
      <rPr>
        <vertAlign val="subscript"/>
        <sz val="11"/>
        <color theme="1"/>
        <rFont val="Calibri"/>
        <family val="2"/>
        <scheme val="minor"/>
      </rPr>
      <t>4,Rk,ausmittig</t>
    </r>
  </si>
  <si>
    <t>RICON 100/40 SL carbon
H: 2xSK8x50, 4xSK5x50
J: 2xSK8x160; 4xSK5x80</t>
  </si>
  <si>
    <r>
      <rPr>
        <b/>
        <sz val="11"/>
        <rFont val="Calibri"/>
        <family val="2"/>
        <scheme val="minor"/>
      </rPr>
      <t>RICON® 100/40 SL</t>
    </r>
    <r>
      <rPr>
        <sz val="11"/>
        <rFont val="Calibri"/>
        <family val="2"/>
        <scheme val="minor"/>
      </rPr>
      <t xml:space="preserve">
HT: 2xSK8x50, 4xSK5x50
NT: </t>
    </r>
    <r>
      <rPr>
        <b/>
        <sz val="11"/>
        <rFont val="Calibri"/>
        <family val="2"/>
        <scheme val="minor"/>
      </rPr>
      <t>2xSK8x160</t>
    </r>
    <r>
      <rPr>
        <sz val="11"/>
        <rFont val="Calibri"/>
        <family val="2"/>
        <scheme val="minor"/>
      </rPr>
      <t>, 4xSK5x80</t>
    </r>
  </si>
  <si>
    <t>WALCO V 60 (Vers 1-2) 60 EK</t>
  </si>
  <si>
    <t>WALCO V 60 (Vers 1-2) 60 GK</t>
  </si>
  <si>
    <t>WALCO V 80 (Vers 1-2) 60 GK</t>
  </si>
  <si>
    <t>WALCO V 60  Vers. 1-2 60 GK</t>
  </si>
  <si>
    <t>WALCO V 80 Vers 1-2 60 GK</t>
  </si>
  <si>
    <t>WALCO V 60  Vers. 1-2 60 VK</t>
  </si>
  <si>
    <t>WALCO V 60  Vers. 1-2 VK</t>
  </si>
  <si>
    <t>Walco V60 (60 mm Holz) VK</t>
  </si>
  <si>
    <t>Walco V60 (60 mm Holz GK</t>
  </si>
  <si>
    <t>Walco V60 (60 mm Holz EK</t>
  </si>
  <si>
    <t>Walco V80 (60 mm Holz EK)</t>
  </si>
  <si>
    <t>WALCO V 80 (Vers 1-2) E0 GK</t>
  </si>
  <si>
    <t>WALCO V 80 (Vers 1-2) 60 EK</t>
  </si>
  <si>
    <t>WALCO V 60  Vers. 1-2 60 EK</t>
  </si>
  <si>
    <t>WALCO V 60  Vers. 1-2 GK /EK</t>
  </si>
  <si>
    <t>WALCO V 80 Vers 1-2 60 EK</t>
  </si>
  <si>
    <t>RICON S 140/60 EK St
H: 10 SK 8x80; J: 10 SK 8x160</t>
  </si>
  <si>
    <t>RICON S 200/60 EK St
H: 16 SK 8x80; J: 16 SK 8x160</t>
  </si>
  <si>
    <t>RICON S 200/80 EK St
H: 16 SK 10x100; J: 16 SK10x200</t>
  </si>
  <si>
    <t>RICON S 290/80 EK St
H: 20 SK 10x100; J: 20 SK10x200</t>
  </si>
  <si>
    <t>RICON S 140/60 EK min
H: 7 SK 8x80; J: 7 SK 8x160</t>
  </si>
  <si>
    <t>RICON S 200/60 EK min
H: 8 SK 8x80; J: 8 SK 8x160</t>
  </si>
  <si>
    <t>RICON S 200/80 EK min
H: 8 SK 10x100; J: 8 SK10x200</t>
  </si>
  <si>
    <t>RICON S 290/80 EK min
H: 8 SK 10x100; J: 8 SK10x200</t>
  </si>
  <si>
    <t>RICON 100/25 A2
H: 2xSK 8x50, 2xSK5x50
J: 2xSK8x80; 2xSK5x80</t>
  </si>
  <si>
    <t>RICON 120/25 A2
H: 2xSK 8x50, 3xSK5x50
J: 2xSK8x80; 3xSK5x80</t>
  </si>
  <si>
    <t>RICON 140/25A2
H: 2xSK 8x50, 3xSK5x50
J: 2xSK8x80; 3xSK5x80</t>
  </si>
  <si>
    <t>RICON 160/25 A2
H: 2xSK 8x50, 4xSK5x50
J: 2xSK8x80; 4xSK5x80</t>
  </si>
  <si>
    <t>38/120</t>
  </si>
  <si>
    <t>38/140</t>
  </si>
  <si>
    <t>38/160</t>
  </si>
  <si>
    <t>38/180</t>
  </si>
  <si>
    <t>RICON S 140/60 VK min
H: 8 SK 8x80; J: 8 SK 8x160</t>
  </si>
  <si>
    <t>RICON S 140/60 VK max
H: 8 SK 8x80; J: 8 SK 8x240</t>
  </si>
  <si>
    <t>RICON S 200/60 VK min
H: 9 SK 8x80; J: 9 SK 8x160</t>
  </si>
  <si>
    <t>RICON S 200/60 VK max
H: 9 SK 8x80; J: 9 SK 8x240</t>
  </si>
  <si>
    <t>RICON S 200/80 VK max
H: 9 SK 10x100; J: 9 SK10x300</t>
  </si>
  <si>
    <t>RICON S 290/80 VK max
H: 9 SK 10x100; J: 9 SK10x300</t>
  </si>
  <si>
    <t>RICON 25er A2 Version</t>
  </si>
  <si>
    <t>(Es liegt dazu keine offizielle Prüfung und Gutachten vor, aber es wurde das gleiche Material und Dicke wie beim RICON 30er A2 Serie verwendet!)</t>
  </si>
  <si>
    <r>
      <rPr>
        <b/>
        <sz val="11"/>
        <color theme="1"/>
        <rFont val="Calibri"/>
        <family val="2"/>
        <scheme val="minor"/>
      </rPr>
      <t>RICON® S 140/60 VK</t>
    </r>
    <r>
      <rPr>
        <sz val="11"/>
        <color theme="1"/>
        <rFont val="Calibri"/>
        <family val="2"/>
        <scheme val="minor"/>
      </rPr>
      <t xml:space="preserve"> </t>
    </r>
    <r>
      <rPr>
        <b/>
        <sz val="11"/>
        <color theme="1"/>
        <rFont val="Calibri"/>
        <family val="2"/>
        <scheme val="minor"/>
      </rPr>
      <t>Max</t>
    </r>
    <r>
      <rPr>
        <sz val="11"/>
        <color theme="1"/>
        <rFont val="Calibri"/>
        <family val="2"/>
        <scheme val="minor"/>
      </rPr>
      <t xml:space="preserve">
HT: 8xSK8x80
NT: </t>
    </r>
    <r>
      <rPr>
        <b/>
        <sz val="11"/>
        <color theme="1"/>
        <rFont val="Calibri"/>
        <family val="2"/>
        <scheme val="minor"/>
      </rPr>
      <t>8xSK8x240</t>
    </r>
  </si>
  <si>
    <r>
      <rPr>
        <b/>
        <sz val="11"/>
        <color theme="1"/>
        <rFont val="Calibri"/>
        <family val="2"/>
        <scheme val="minor"/>
      </rPr>
      <t>RICON S 200/60 VK Max</t>
    </r>
    <r>
      <rPr>
        <sz val="11"/>
        <color theme="1"/>
        <rFont val="Calibri"/>
        <family val="2"/>
        <scheme val="minor"/>
      </rPr>
      <t xml:space="preserve">
HT: 9xSK8x80
NT: </t>
    </r>
    <r>
      <rPr>
        <b/>
        <sz val="11"/>
        <color theme="1"/>
        <rFont val="Calibri"/>
        <family val="2"/>
        <scheme val="minor"/>
      </rPr>
      <t>9xSK8x240</t>
    </r>
  </si>
  <si>
    <r>
      <rPr>
        <b/>
        <sz val="11"/>
        <color theme="1"/>
        <rFont val="Calibri"/>
        <family val="2"/>
        <scheme val="minor"/>
      </rPr>
      <t>RICON® S 200/80 VK Max</t>
    </r>
    <r>
      <rPr>
        <sz val="11"/>
        <color theme="1"/>
        <rFont val="Calibri"/>
        <family val="2"/>
        <scheme val="minor"/>
      </rPr>
      <t xml:space="preserve">
HT: 9xSK10x100
NT:</t>
    </r>
    <r>
      <rPr>
        <b/>
        <sz val="11"/>
        <color theme="1"/>
        <rFont val="Calibri"/>
        <family val="2"/>
        <scheme val="minor"/>
      </rPr>
      <t xml:space="preserve"> 9xSK10x300</t>
    </r>
  </si>
  <si>
    <r>
      <rPr>
        <b/>
        <sz val="11"/>
        <color theme="1"/>
        <rFont val="Calibri"/>
        <family val="2"/>
        <scheme val="minor"/>
      </rPr>
      <t>RICON® S 290/80 VK Max</t>
    </r>
    <r>
      <rPr>
        <sz val="11"/>
        <color theme="1"/>
        <rFont val="Calibri"/>
        <family val="2"/>
        <scheme val="minor"/>
      </rPr>
      <t xml:space="preserve">
HT: 9xSK10x100
NT: </t>
    </r>
    <r>
      <rPr>
        <b/>
        <sz val="11"/>
        <color theme="1"/>
        <rFont val="Calibri"/>
        <family val="2"/>
        <scheme val="minor"/>
      </rPr>
      <t>9xSK10x300</t>
    </r>
  </si>
  <si>
    <t>RICON® S EK: (RICON® S mit einstellbaren Kragenbolzen)</t>
  </si>
  <si>
    <t>RICON® S GK: (RICON® S mit gefederten Kragenbolzen)</t>
  </si>
  <si>
    <r>
      <rPr>
        <b/>
        <sz val="11"/>
        <rFont val="Calibri"/>
        <family val="2"/>
        <scheme val="minor"/>
      </rPr>
      <t>RICON® 60/40</t>
    </r>
    <r>
      <rPr>
        <sz val="11"/>
        <rFont val="Calibri"/>
        <family val="2"/>
        <scheme val="minor"/>
      </rPr>
      <t xml:space="preserve">
HT: 1xSK8x50, 2xSK5x50
NT: 1xSK8x80, 2xSK5x80</t>
    </r>
  </si>
  <si>
    <r>
      <rPr>
        <b/>
        <sz val="11"/>
        <rFont val="Calibri"/>
        <family val="2"/>
        <scheme val="minor"/>
      </rPr>
      <t xml:space="preserve">RICON® 80/40 </t>
    </r>
    <r>
      <rPr>
        <sz val="11"/>
        <rFont val="Calibri"/>
        <family val="2"/>
        <scheme val="minor"/>
      </rPr>
      <t xml:space="preserve">
HT: 2xSK8x50, 2xSK5x50
NT: 2xSK8x80, 2xSK5x80</t>
    </r>
  </si>
  <si>
    <r>
      <rPr>
        <b/>
        <sz val="11"/>
        <rFont val="Calibri"/>
        <family val="2"/>
        <scheme val="minor"/>
      </rPr>
      <t xml:space="preserve">RICON® 100/40 </t>
    </r>
    <r>
      <rPr>
        <sz val="11"/>
        <rFont val="Calibri"/>
        <family val="2"/>
        <scheme val="minor"/>
      </rPr>
      <t xml:space="preserve">
HT: 2xSK8x50, 4xSK5x50
NT: 2xSK8x80, 4xSK5x80</t>
    </r>
  </si>
  <si>
    <r>
      <rPr>
        <b/>
        <sz val="11"/>
        <rFont val="Calibri"/>
        <family val="2"/>
        <scheme val="minor"/>
      </rPr>
      <t xml:space="preserve">RICON® 120/40 </t>
    </r>
    <r>
      <rPr>
        <sz val="11"/>
        <rFont val="Calibri"/>
        <family val="2"/>
        <scheme val="minor"/>
      </rPr>
      <t xml:space="preserve">
HT: 2xSK8x50, 6xSK5x50
NT: 2xSK8x80, 6xSK5x80</t>
    </r>
  </si>
  <si>
    <r>
      <rPr>
        <b/>
        <sz val="11"/>
        <rFont val="Calibri"/>
        <family val="2"/>
        <scheme val="minor"/>
      </rPr>
      <t xml:space="preserve">RICON® 140/40 </t>
    </r>
    <r>
      <rPr>
        <sz val="11"/>
        <rFont val="Calibri"/>
        <family val="2"/>
        <scheme val="minor"/>
      </rPr>
      <t xml:space="preserve">
HT: 2xSK8x50, 8xSK5x50
NT: 2xSK8x80, 8xSK5x80</t>
    </r>
  </si>
  <si>
    <r>
      <rPr>
        <b/>
        <sz val="11"/>
        <rFont val="Calibri"/>
        <family val="2"/>
        <scheme val="minor"/>
      </rPr>
      <t xml:space="preserve">RICON® 160/40 </t>
    </r>
    <r>
      <rPr>
        <sz val="11"/>
        <rFont val="Calibri"/>
        <family val="2"/>
        <scheme val="minor"/>
      </rPr>
      <t xml:space="preserve">
HT: 2xSK8x50, 10xSK5x50
NT: 2xSK8x80, 10xSK5x80</t>
    </r>
  </si>
  <si>
    <t>*Doppel RICON®:</t>
  </si>
  <si>
    <r>
      <rPr>
        <b/>
        <sz val="11"/>
        <rFont val="Calibri"/>
        <family val="2"/>
        <scheme val="minor"/>
      </rPr>
      <t>Doppel RICON® 80/40 *</t>
    </r>
    <r>
      <rPr>
        <sz val="11"/>
        <rFont val="Calibri"/>
        <family val="2"/>
        <scheme val="minor"/>
      </rPr>
      <t xml:space="preserve">
HT: 3x8x50, 4xSK5x50
NT: 3xSK8x80, 4xSK5x80</t>
    </r>
  </si>
  <si>
    <r>
      <rPr>
        <b/>
        <sz val="11"/>
        <rFont val="Calibri"/>
        <family val="2"/>
        <scheme val="minor"/>
      </rPr>
      <t>Doppel RICON® 100/40 *</t>
    </r>
    <r>
      <rPr>
        <sz val="11"/>
        <rFont val="Calibri"/>
        <family val="2"/>
        <scheme val="minor"/>
      </rPr>
      <t xml:space="preserve">
HT: 3x8x50, 8xSK5x50
NT: 3xSK8x80, 8xSK5x80</t>
    </r>
  </si>
  <si>
    <r>
      <rPr>
        <b/>
        <sz val="11"/>
        <rFont val="Calibri"/>
        <family val="2"/>
        <scheme val="minor"/>
      </rPr>
      <t>Doppel</t>
    </r>
    <r>
      <rPr>
        <sz val="11"/>
        <rFont val="Calibri"/>
        <family val="2"/>
        <scheme val="minor"/>
      </rPr>
      <t xml:space="preserve"> </t>
    </r>
    <r>
      <rPr>
        <b/>
        <sz val="11"/>
        <rFont val="Calibri"/>
        <family val="2"/>
        <scheme val="minor"/>
      </rPr>
      <t>RICON® 120/40 *</t>
    </r>
    <r>
      <rPr>
        <sz val="11"/>
        <rFont val="Calibri"/>
        <family val="2"/>
        <scheme val="minor"/>
      </rPr>
      <t xml:space="preserve">
HT: 3x8x50, 12xSK5x50
NT: 3xSK8x80, 12xSK5x80</t>
    </r>
  </si>
  <si>
    <r>
      <rPr>
        <b/>
        <sz val="11"/>
        <rFont val="Calibri"/>
        <family val="2"/>
        <scheme val="minor"/>
      </rPr>
      <t>Doppel</t>
    </r>
    <r>
      <rPr>
        <sz val="11"/>
        <rFont val="Calibri"/>
        <family val="2"/>
        <scheme val="minor"/>
      </rPr>
      <t xml:space="preserve"> </t>
    </r>
    <r>
      <rPr>
        <b/>
        <sz val="11"/>
        <rFont val="Calibri"/>
        <family val="2"/>
        <scheme val="minor"/>
      </rPr>
      <t>RICON® 140/40 *</t>
    </r>
    <r>
      <rPr>
        <sz val="11"/>
        <rFont val="Calibri"/>
        <family val="2"/>
        <scheme val="minor"/>
      </rPr>
      <t xml:space="preserve">
HT: 3x8x50, 16xSK5x50
NT: 3xSK8x80, 16xSK5x80</t>
    </r>
  </si>
  <si>
    <r>
      <rPr>
        <b/>
        <sz val="11"/>
        <rFont val="Calibri"/>
        <family val="2"/>
        <scheme val="minor"/>
      </rPr>
      <t>Doppel RICON® 160/40 *</t>
    </r>
    <r>
      <rPr>
        <sz val="11"/>
        <rFont val="Calibri"/>
        <family val="2"/>
        <scheme val="minor"/>
      </rPr>
      <t xml:space="preserve">
HT: 3x8x50, 20xSK5x50
NT: 3xSK8x80, 20xSK5x80</t>
    </r>
  </si>
  <si>
    <r>
      <rPr>
        <b/>
        <sz val="10"/>
        <rFont val="Calibri"/>
        <family val="2"/>
        <scheme val="minor"/>
      </rPr>
      <t>RICON® 80/40 A2</t>
    </r>
    <r>
      <rPr>
        <sz val="10"/>
        <rFont val="Calibri"/>
        <family val="2"/>
        <scheme val="minor"/>
      </rPr>
      <t xml:space="preserve">
HT: 2xSK8x50, 2xSK5x50
NT: 2xSK8x80, 2xSK5x80</t>
    </r>
  </si>
  <si>
    <r>
      <rPr>
        <b/>
        <sz val="10"/>
        <rFont val="Calibri"/>
        <family val="2"/>
        <scheme val="minor"/>
      </rPr>
      <t>RICON® 160/40 A2</t>
    </r>
    <r>
      <rPr>
        <sz val="10"/>
        <rFont val="Calibri"/>
        <family val="2"/>
        <scheme val="minor"/>
      </rPr>
      <t xml:space="preserve">
HT: 2xSK8x50, 10xSK5x50
NT: 2xSK8x80, 10xSK5x80</t>
    </r>
  </si>
  <si>
    <r>
      <rPr>
        <b/>
        <sz val="10"/>
        <rFont val="Calibri"/>
        <family val="2"/>
        <scheme val="minor"/>
      </rPr>
      <t>Doppel RICON® 80/40 A2</t>
    </r>
    <r>
      <rPr>
        <sz val="10"/>
        <rFont val="Calibri"/>
        <family val="2"/>
        <scheme val="minor"/>
      </rPr>
      <t xml:space="preserve"> *
HT: 3xSK8x50, 4xSK5x50
NT: 3xSK8x80, 4xSK5x80</t>
    </r>
  </si>
  <si>
    <r>
      <rPr>
        <b/>
        <sz val="10"/>
        <rFont val="Calibri"/>
        <family val="2"/>
        <scheme val="minor"/>
      </rPr>
      <t>Doppel RICON® 160/40 A2 *</t>
    </r>
    <r>
      <rPr>
        <sz val="10"/>
        <rFont val="Calibri"/>
        <family val="2"/>
        <scheme val="minor"/>
      </rPr>
      <t xml:space="preserve">
HT: 3xSK8x50, 20xSK5x50
NT: 3xSK8x80, 20xSK5x80</t>
    </r>
  </si>
  <si>
    <r>
      <rPr>
        <b/>
        <sz val="10"/>
        <rFont val="Calibri"/>
        <family val="2"/>
        <scheme val="minor"/>
      </rPr>
      <t>RICON® 60/30 A2</t>
    </r>
    <r>
      <rPr>
        <sz val="10"/>
        <rFont val="Calibri"/>
        <family val="2"/>
        <scheme val="minor"/>
      </rPr>
      <t xml:space="preserve">
HT: 1xSK8x50, 2xSK5x50
NT: 1xSK8x80, 2xSK5x80</t>
    </r>
  </si>
  <si>
    <r>
      <rPr>
        <b/>
        <sz val="10"/>
        <rFont val="Calibri"/>
        <family val="2"/>
        <scheme val="minor"/>
      </rPr>
      <t>RICON® 80/30 A2</t>
    </r>
    <r>
      <rPr>
        <sz val="10"/>
        <rFont val="Calibri"/>
        <family val="2"/>
        <scheme val="minor"/>
      </rPr>
      <t xml:space="preserve">
HT: 2xSK8x50, 2xSK5x50
NT: 2xSK8x80, 2xSK5x80</t>
    </r>
  </si>
  <si>
    <r>
      <rPr>
        <b/>
        <sz val="10"/>
        <rFont val="Calibri"/>
        <family val="2"/>
        <scheme val="minor"/>
      </rPr>
      <t>RICON® 100/30 A2</t>
    </r>
    <r>
      <rPr>
        <sz val="10"/>
        <rFont val="Calibri"/>
        <family val="2"/>
        <scheme val="minor"/>
      </rPr>
      <t xml:space="preserve">
HT: 2xSK8x50, 4xSK5x50
NT: 2xSK8x80, 4xSK5x80</t>
    </r>
  </si>
  <si>
    <r>
      <rPr>
        <b/>
        <sz val="10"/>
        <rFont val="Calibri"/>
        <family val="2"/>
        <scheme val="minor"/>
      </rPr>
      <t>RICON® 120/30 A2</t>
    </r>
    <r>
      <rPr>
        <sz val="10"/>
        <rFont val="Calibri"/>
        <family val="2"/>
        <scheme val="minor"/>
      </rPr>
      <t xml:space="preserve">
HT: 2xSK8x50, 6xSK5x50
NT: 2xSK8x80, 6xSK5x80</t>
    </r>
  </si>
  <si>
    <r>
      <rPr>
        <b/>
        <sz val="10"/>
        <rFont val="Calibri"/>
        <family val="2"/>
        <scheme val="minor"/>
      </rPr>
      <t>RICON® 140/30 A2</t>
    </r>
    <r>
      <rPr>
        <sz val="10"/>
        <rFont val="Calibri"/>
        <family val="2"/>
        <scheme val="minor"/>
      </rPr>
      <t xml:space="preserve">
HT: 2xSK8x50, 8xSK5x50
NT: 2xSK8x80, 8xSK5x80</t>
    </r>
  </si>
  <si>
    <r>
      <rPr>
        <b/>
        <sz val="10"/>
        <rFont val="Calibri"/>
        <family val="2"/>
        <scheme val="minor"/>
      </rPr>
      <t>RICON® 160/30 A2</t>
    </r>
    <r>
      <rPr>
        <sz val="10"/>
        <rFont val="Calibri"/>
        <family val="2"/>
        <scheme val="minor"/>
      </rPr>
      <t xml:space="preserve">
HT: 2xSK8x50, 10xSK5x50
NT: 2xSK8x80, 10xSK5x80</t>
    </r>
  </si>
  <si>
    <r>
      <rPr>
        <b/>
        <sz val="10"/>
        <rFont val="Calibri"/>
        <family val="2"/>
        <scheme val="minor"/>
      </rPr>
      <t>Doppel RICON® 80/30 A2 *</t>
    </r>
    <r>
      <rPr>
        <sz val="10"/>
        <rFont val="Calibri"/>
        <family val="2"/>
        <scheme val="minor"/>
      </rPr>
      <t xml:space="preserve">
HT: 3xSK8x50, 4xSK5x50
NT: 3xSK8x80, 4xSK5x80</t>
    </r>
  </si>
  <si>
    <r>
      <rPr>
        <b/>
        <sz val="10"/>
        <rFont val="Calibri"/>
        <family val="2"/>
        <scheme val="minor"/>
      </rPr>
      <t>Doppel RICON® 100/30 A2 *</t>
    </r>
    <r>
      <rPr>
        <sz val="10"/>
        <rFont val="Calibri"/>
        <family val="2"/>
        <scheme val="minor"/>
      </rPr>
      <t xml:space="preserve">
HT: 3xSK8x50, 8xSK5x50
NT: 3xSK8x80, 8xSK5x80</t>
    </r>
  </si>
  <si>
    <r>
      <rPr>
        <b/>
        <sz val="10"/>
        <rFont val="Calibri"/>
        <family val="2"/>
        <scheme val="minor"/>
      </rPr>
      <t>Doppel</t>
    </r>
    <r>
      <rPr>
        <sz val="10"/>
        <rFont val="Calibri"/>
        <family val="2"/>
        <scheme val="minor"/>
      </rPr>
      <t xml:space="preserve"> </t>
    </r>
    <r>
      <rPr>
        <b/>
        <sz val="10"/>
        <rFont val="Calibri"/>
        <family val="2"/>
        <scheme val="minor"/>
      </rPr>
      <t>RICON® 120/30 A2 *</t>
    </r>
    <r>
      <rPr>
        <sz val="10"/>
        <rFont val="Calibri"/>
        <family val="2"/>
        <scheme val="minor"/>
      </rPr>
      <t xml:space="preserve">
HT: 3xSK8x50, 12xSK5x50
NT: 3xSK8x80, 12xSK5x80</t>
    </r>
  </si>
  <si>
    <r>
      <rPr>
        <b/>
        <sz val="10"/>
        <rFont val="Calibri"/>
        <family val="2"/>
        <scheme val="minor"/>
      </rPr>
      <t>Doppel</t>
    </r>
    <r>
      <rPr>
        <sz val="10"/>
        <rFont val="Calibri"/>
        <family val="2"/>
        <scheme val="minor"/>
      </rPr>
      <t xml:space="preserve"> </t>
    </r>
    <r>
      <rPr>
        <b/>
        <sz val="10"/>
        <rFont val="Calibri"/>
        <family val="2"/>
        <scheme val="minor"/>
      </rPr>
      <t>RICON® 140/30 A2 *</t>
    </r>
    <r>
      <rPr>
        <sz val="10"/>
        <rFont val="Calibri"/>
        <family val="2"/>
        <scheme val="minor"/>
      </rPr>
      <t xml:space="preserve">
HT: 3xSK8x50, 16xSK5x50
NT: 3xSK8x80, 16xSK5x80</t>
    </r>
  </si>
  <si>
    <r>
      <rPr>
        <b/>
        <sz val="10"/>
        <rFont val="Calibri"/>
        <family val="2"/>
        <scheme val="minor"/>
      </rPr>
      <t>Doppel</t>
    </r>
    <r>
      <rPr>
        <sz val="10"/>
        <rFont val="Calibri"/>
        <family val="2"/>
        <scheme val="minor"/>
      </rPr>
      <t xml:space="preserve"> </t>
    </r>
    <r>
      <rPr>
        <b/>
        <sz val="10"/>
        <rFont val="Calibri"/>
        <family val="2"/>
        <scheme val="minor"/>
      </rPr>
      <t>RICON® 160/30 A2 *</t>
    </r>
    <r>
      <rPr>
        <sz val="10"/>
        <rFont val="Calibri"/>
        <family val="2"/>
        <scheme val="minor"/>
      </rPr>
      <t xml:space="preserve">
HT: 3xSK8x50, 20xSK5x50
NT: 3xSK8x80, 20xSK5x80</t>
    </r>
  </si>
  <si>
    <r>
      <rPr>
        <b/>
        <sz val="10"/>
        <rFont val="Calibri"/>
        <family val="2"/>
        <scheme val="minor"/>
      </rPr>
      <t>RICON® 70/20 A2</t>
    </r>
    <r>
      <rPr>
        <sz val="10"/>
        <rFont val="Calibri"/>
        <family val="2"/>
        <scheme val="minor"/>
      </rPr>
      <t xml:space="preserve">
HT: 3xSK5x50
NT: 3xSK5x80</t>
    </r>
  </si>
  <si>
    <r>
      <rPr>
        <b/>
        <sz val="10"/>
        <rFont val="Calibri"/>
        <family val="2"/>
        <scheme val="minor"/>
      </rPr>
      <t>RICON 66/16 A2</t>
    </r>
    <r>
      <rPr>
        <sz val="10"/>
        <rFont val="Calibri"/>
        <family val="2"/>
        <scheme val="minor"/>
      </rPr>
      <t xml:space="preserve">
HT: 3xSK5x50
NT: 3xSK5x80</t>
    </r>
  </si>
  <si>
    <r>
      <rPr>
        <b/>
        <sz val="11"/>
        <rFont val="Calibri"/>
        <family val="2"/>
        <scheme val="minor"/>
      </rPr>
      <t>GIGANT 150/40  ST</t>
    </r>
    <r>
      <rPr>
        <sz val="11"/>
        <rFont val="Calibri"/>
        <family val="2"/>
        <scheme val="minor"/>
      </rPr>
      <t xml:space="preserve">
ohne Sperrklappe
HT: 4xSK10x80
NT: 4xSK10x120</t>
    </r>
  </si>
  <si>
    <r>
      <rPr>
        <b/>
        <sz val="11"/>
        <rFont val="Calibri"/>
        <family val="2"/>
        <scheme val="minor"/>
      </rPr>
      <t>GIGANT 150/40  Max</t>
    </r>
    <r>
      <rPr>
        <sz val="11"/>
        <rFont val="Calibri"/>
        <family val="2"/>
        <scheme val="minor"/>
      </rPr>
      <t xml:space="preserve">
ohne Sperrklappe
HT: 4xSK10x80
NT: </t>
    </r>
    <r>
      <rPr>
        <b/>
        <sz val="11"/>
        <rFont val="Calibri"/>
        <family val="2"/>
        <scheme val="minor"/>
      </rPr>
      <t>4xSK10x200</t>
    </r>
  </si>
  <si>
    <r>
      <rPr>
        <b/>
        <sz val="11"/>
        <rFont val="Calibri"/>
        <family val="2"/>
        <scheme val="minor"/>
      </rPr>
      <t xml:space="preserve">GIGANT 150/40 ST </t>
    </r>
    <r>
      <rPr>
        <sz val="11"/>
        <rFont val="Calibri"/>
        <family val="2"/>
        <scheme val="minor"/>
      </rPr>
      <t xml:space="preserve">
mit Sperrklappe
HT: 4xSK10x80
NT: 4xSK10x120</t>
    </r>
  </si>
  <si>
    <r>
      <rPr>
        <b/>
        <sz val="11"/>
        <rFont val="Calibri"/>
        <family val="2"/>
        <scheme val="minor"/>
      </rPr>
      <t>GIGANT 180/40  ST</t>
    </r>
    <r>
      <rPr>
        <sz val="11"/>
        <rFont val="Calibri"/>
        <family val="2"/>
        <scheme val="minor"/>
      </rPr>
      <t xml:space="preserve">
ohne Sperrklappe
HT: 6xSK10x80
NT: 6xSK10x120</t>
    </r>
  </si>
  <si>
    <r>
      <rPr>
        <b/>
        <sz val="11"/>
        <rFont val="Calibri"/>
        <family val="2"/>
        <scheme val="minor"/>
      </rPr>
      <t>GIGANT 180/40  Max</t>
    </r>
    <r>
      <rPr>
        <sz val="11"/>
        <rFont val="Calibri"/>
        <family val="2"/>
        <scheme val="minor"/>
      </rPr>
      <t xml:space="preserve">
ohne Sperrklappe
HT: 6xSK10x80
NT: </t>
    </r>
    <r>
      <rPr>
        <b/>
        <sz val="11"/>
        <rFont val="Calibri"/>
        <family val="2"/>
        <scheme val="minor"/>
      </rPr>
      <t>6xSK10x200</t>
    </r>
  </si>
  <si>
    <r>
      <rPr>
        <b/>
        <sz val="11"/>
        <rFont val="Calibri"/>
        <family val="2"/>
        <scheme val="minor"/>
      </rPr>
      <t>GIGANT 180/40  ST</t>
    </r>
    <r>
      <rPr>
        <sz val="11"/>
        <rFont val="Calibri"/>
        <family val="2"/>
        <scheme val="minor"/>
      </rPr>
      <t xml:space="preserve">
mit Sperrklappe
HT: 6xSK10x80
NT: 5xSK10x120</t>
    </r>
  </si>
  <si>
    <r>
      <rPr>
        <b/>
        <sz val="11"/>
        <color theme="1"/>
        <rFont val="Calibri"/>
        <family val="2"/>
        <scheme val="minor"/>
      </rPr>
      <t>RICON® S 140/60 EK/GK Min</t>
    </r>
    <r>
      <rPr>
        <sz val="11"/>
        <color theme="1"/>
        <rFont val="Calibri"/>
        <family val="2"/>
        <scheme val="minor"/>
      </rPr>
      <t xml:space="preserve">
HT:  7xSK8x80
NT: 7xSK8x160</t>
    </r>
  </si>
  <si>
    <r>
      <rPr>
        <b/>
        <sz val="11"/>
        <color theme="1"/>
        <rFont val="Calibri"/>
        <family val="2"/>
        <scheme val="minor"/>
      </rPr>
      <t>RICON® S 140/60 EK/GK ST</t>
    </r>
    <r>
      <rPr>
        <sz val="11"/>
        <color theme="1"/>
        <rFont val="Calibri"/>
        <family val="2"/>
        <scheme val="minor"/>
      </rPr>
      <t xml:space="preserve">
HT: 10xSK8x80
NT: 10xSK8x160</t>
    </r>
  </si>
  <si>
    <r>
      <rPr>
        <b/>
        <sz val="11"/>
        <color theme="1"/>
        <rFont val="Calibri"/>
        <family val="2"/>
        <scheme val="minor"/>
      </rPr>
      <t>RICON® S 140/60 EK/GK Max</t>
    </r>
    <r>
      <rPr>
        <sz val="11"/>
        <color theme="1"/>
        <rFont val="Calibri"/>
        <family val="2"/>
        <scheme val="minor"/>
      </rPr>
      <t xml:space="preserve">
HT: 10xSK8x80
NT: 10xSK8x240</t>
    </r>
  </si>
  <si>
    <r>
      <rPr>
        <b/>
        <sz val="11"/>
        <color theme="1"/>
        <rFont val="Calibri"/>
        <family val="2"/>
        <scheme val="minor"/>
      </rPr>
      <t>RICON® S 200/60 EK/GK Min</t>
    </r>
    <r>
      <rPr>
        <sz val="11"/>
        <color theme="1"/>
        <rFont val="Calibri"/>
        <family val="2"/>
        <scheme val="minor"/>
      </rPr>
      <t xml:space="preserve">
HT: 8xSK8x80
NT: 8xSK8x160</t>
    </r>
  </si>
  <si>
    <r>
      <rPr>
        <b/>
        <sz val="11"/>
        <color theme="1"/>
        <rFont val="Calibri"/>
        <family val="2"/>
        <scheme val="minor"/>
      </rPr>
      <t>RICON® S 200/60 EK/GK ST</t>
    </r>
    <r>
      <rPr>
        <sz val="11"/>
        <color theme="1"/>
        <rFont val="Calibri"/>
        <family val="2"/>
        <scheme val="minor"/>
      </rPr>
      <t xml:space="preserve">
HT: 16xSK8x80
NT: 16xSK8x160</t>
    </r>
  </si>
  <si>
    <r>
      <rPr>
        <b/>
        <sz val="11"/>
        <color theme="1"/>
        <rFont val="Calibri"/>
        <family val="2"/>
        <scheme val="minor"/>
      </rPr>
      <t>RICON S 200/60 EK/GK Max</t>
    </r>
    <r>
      <rPr>
        <sz val="11"/>
        <color theme="1"/>
        <rFont val="Calibri"/>
        <family val="2"/>
        <scheme val="minor"/>
      </rPr>
      <t xml:space="preserve">
HT: 16xSK8x80
NT: 16xSK8x240</t>
    </r>
  </si>
  <si>
    <r>
      <rPr>
        <b/>
        <sz val="11"/>
        <color theme="1"/>
        <rFont val="Calibri"/>
        <family val="2"/>
        <scheme val="minor"/>
      </rPr>
      <t>RICON® S 200/80 EK/GK Min</t>
    </r>
    <r>
      <rPr>
        <sz val="11"/>
        <color theme="1"/>
        <rFont val="Calibri"/>
        <family val="2"/>
        <scheme val="minor"/>
      </rPr>
      <t xml:space="preserve">
HT: 8xSK10x100
NT: 8xSK10x200</t>
    </r>
  </si>
  <si>
    <r>
      <rPr>
        <b/>
        <sz val="11"/>
        <color theme="1"/>
        <rFont val="Calibri"/>
        <family val="2"/>
        <scheme val="minor"/>
      </rPr>
      <t>RICON® S 200/80 EK/GK ST</t>
    </r>
    <r>
      <rPr>
        <sz val="11"/>
        <color theme="1"/>
        <rFont val="Calibri"/>
        <family val="2"/>
        <scheme val="minor"/>
      </rPr>
      <t xml:space="preserve">
HT: 16xSK10x100
NT: 16xSK10x200</t>
    </r>
  </si>
  <si>
    <r>
      <rPr>
        <b/>
        <sz val="11"/>
        <color theme="1"/>
        <rFont val="Calibri"/>
        <family val="2"/>
        <scheme val="minor"/>
      </rPr>
      <t>RICON® S 290/80 EK/GK Min</t>
    </r>
    <r>
      <rPr>
        <sz val="11"/>
        <color theme="1"/>
        <rFont val="Calibri"/>
        <family val="2"/>
        <scheme val="minor"/>
      </rPr>
      <t xml:space="preserve">
HT: 8xSK10x100
NT: 8xSK10x200</t>
    </r>
  </si>
  <si>
    <r>
      <rPr>
        <b/>
        <sz val="11"/>
        <color theme="1"/>
        <rFont val="Calibri"/>
        <family val="2"/>
        <scheme val="minor"/>
      </rPr>
      <t>RICON® S 290/80 EK/GK ST</t>
    </r>
    <r>
      <rPr>
        <sz val="11"/>
        <color theme="1"/>
        <rFont val="Calibri"/>
        <family val="2"/>
        <scheme val="minor"/>
      </rPr>
      <t xml:space="preserve">
HT: 20xSK10x100
NT: 20xSK10x200</t>
    </r>
  </si>
  <si>
    <r>
      <rPr>
        <b/>
        <sz val="11"/>
        <color theme="1"/>
        <rFont val="Calibri"/>
        <family val="2"/>
        <scheme val="minor"/>
      </rPr>
      <t>RICON® S 140/60 VK ST</t>
    </r>
    <r>
      <rPr>
        <sz val="11"/>
        <color theme="1"/>
        <rFont val="Calibri"/>
        <family val="2"/>
        <scheme val="minor"/>
      </rPr>
      <t xml:space="preserve">
HT: 8xSK8x80
NT: 8xSK8x160</t>
    </r>
  </si>
  <si>
    <r>
      <rPr>
        <b/>
        <sz val="11"/>
        <color theme="1"/>
        <rFont val="Calibri"/>
        <family val="2"/>
        <scheme val="minor"/>
      </rPr>
      <t>RICON® S 200/60 VK ST</t>
    </r>
    <r>
      <rPr>
        <sz val="11"/>
        <color theme="1"/>
        <rFont val="Calibri"/>
        <family val="2"/>
        <scheme val="minor"/>
      </rPr>
      <t xml:space="preserve">
HT: 9xSK8x80
NT: 9xSK8x160</t>
    </r>
  </si>
  <si>
    <r>
      <rPr>
        <b/>
        <sz val="11"/>
        <color theme="1"/>
        <rFont val="Calibri"/>
        <family val="2"/>
        <scheme val="minor"/>
      </rPr>
      <t>RICON® S 200/80 VK ST</t>
    </r>
    <r>
      <rPr>
        <sz val="11"/>
        <color theme="1"/>
        <rFont val="Calibri"/>
        <family val="2"/>
        <scheme val="minor"/>
      </rPr>
      <t xml:space="preserve">
HT: 9xSK10x100
NT: 9xSK10x200</t>
    </r>
  </si>
  <si>
    <r>
      <rPr>
        <b/>
        <sz val="11"/>
        <color theme="1"/>
        <rFont val="Calibri"/>
        <family val="2"/>
        <scheme val="minor"/>
      </rPr>
      <t>RICON® S 290/80 VK ST</t>
    </r>
    <r>
      <rPr>
        <sz val="11"/>
        <color theme="1"/>
        <rFont val="Calibri"/>
        <family val="2"/>
        <scheme val="minor"/>
      </rPr>
      <t xml:space="preserve">
HT: 9xSK10x100
NT: 9xSK10x200</t>
    </r>
  </si>
  <si>
    <r>
      <rPr>
        <b/>
        <sz val="11"/>
        <color theme="1"/>
        <rFont val="Calibri"/>
        <family val="2"/>
        <scheme val="minor"/>
      </rPr>
      <t>RICON® S 140/60 VS Min</t>
    </r>
    <r>
      <rPr>
        <sz val="11"/>
        <color theme="1"/>
        <rFont val="Calibri"/>
        <family val="2"/>
        <scheme val="minor"/>
      </rPr>
      <t xml:space="preserve">
HT: 7xSK8x80
NT: 7xSK8x160</t>
    </r>
  </si>
  <si>
    <r>
      <rPr>
        <b/>
        <sz val="11"/>
        <color theme="1"/>
        <rFont val="Calibri"/>
        <family val="2"/>
        <scheme val="minor"/>
      </rPr>
      <t>RICON® S 140/60 VS ST</t>
    </r>
    <r>
      <rPr>
        <sz val="11"/>
        <color theme="1"/>
        <rFont val="Calibri"/>
        <family val="2"/>
        <scheme val="minor"/>
      </rPr>
      <t xml:space="preserve">
HT: 10xSK8x80
NT: 10xSK8x160</t>
    </r>
  </si>
  <si>
    <r>
      <rPr>
        <b/>
        <sz val="11"/>
        <color theme="1"/>
        <rFont val="Calibri"/>
        <family val="2"/>
        <scheme val="minor"/>
      </rPr>
      <t>RICON® S 140/60 VS Max</t>
    </r>
    <r>
      <rPr>
        <sz val="11"/>
        <color theme="1"/>
        <rFont val="Calibri"/>
        <family val="2"/>
        <scheme val="minor"/>
      </rPr>
      <t xml:space="preserve">
HT: 10xSK8x80
NT: 10xSK8x240</t>
    </r>
  </si>
  <si>
    <r>
      <rPr>
        <b/>
        <sz val="11"/>
        <color theme="1"/>
        <rFont val="Calibri"/>
        <family val="2"/>
        <scheme val="minor"/>
      </rPr>
      <t>RICON® S 200/60 VS Min</t>
    </r>
    <r>
      <rPr>
        <sz val="11"/>
        <color theme="1"/>
        <rFont val="Calibri"/>
        <family val="2"/>
        <scheme val="minor"/>
      </rPr>
      <t xml:space="preserve">
HT: 8xSK8x80
NT: 8xSK8x160</t>
    </r>
  </si>
  <si>
    <r>
      <rPr>
        <b/>
        <sz val="11"/>
        <color theme="1"/>
        <rFont val="Calibri"/>
        <family val="2"/>
        <scheme val="minor"/>
      </rPr>
      <t>RICON® S 200/60 VS ST</t>
    </r>
    <r>
      <rPr>
        <sz val="11"/>
        <color theme="1"/>
        <rFont val="Calibri"/>
        <family val="2"/>
        <scheme val="minor"/>
      </rPr>
      <t xml:space="preserve">
HT: 16xSK8x80
NT: 16xSK8x160</t>
    </r>
  </si>
  <si>
    <r>
      <rPr>
        <b/>
        <sz val="11"/>
        <color theme="1"/>
        <rFont val="Calibri"/>
        <family val="2"/>
        <scheme val="minor"/>
      </rPr>
      <t>RICON® S 200/60 VS Max</t>
    </r>
    <r>
      <rPr>
        <sz val="11"/>
        <color theme="1"/>
        <rFont val="Calibri"/>
        <family val="2"/>
        <scheme val="minor"/>
      </rPr>
      <t xml:space="preserve">
HT: 16xSK8x80
NT: 16xSK8x240</t>
    </r>
  </si>
  <si>
    <r>
      <rPr>
        <b/>
        <sz val="11"/>
        <color theme="1"/>
        <rFont val="Calibri"/>
        <family val="2"/>
        <scheme val="minor"/>
      </rPr>
      <t>RICON® S 200/80 VS Min</t>
    </r>
    <r>
      <rPr>
        <sz val="11"/>
        <color theme="1"/>
        <rFont val="Calibri"/>
        <family val="2"/>
        <scheme val="minor"/>
      </rPr>
      <t xml:space="preserve">
HT: 8xSK10x100
NT: 8xSK10x200</t>
    </r>
  </si>
  <si>
    <r>
      <rPr>
        <b/>
        <sz val="11"/>
        <color theme="1"/>
        <rFont val="Calibri"/>
        <family val="2"/>
        <scheme val="minor"/>
      </rPr>
      <t>RICON® S 200/80 VS ST</t>
    </r>
    <r>
      <rPr>
        <sz val="11"/>
        <color theme="1"/>
        <rFont val="Calibri"/>
        <family val="2"/>
        <scheme val="minor"/>
      </rPr>
      <t xml:space="preserve">
HT: 16xSK10x100
NT: 16xSK10x200</t>
    </r>
  </si>
  <si>
    <r>
      <rPr>
        <b/>
        <sz val="11"/>
        <color theme="1"/>
        <rFont val="Calibri"/>
        <family val="2"/>
        <scheme val="minor"/>
      </rPr>
      <t>RICON® S 200/80 VS Max</t>
    </r>
    <r>
      <rPr>
        <sz val="11"/>
        <color theme="1"/>
        <rFont val="Calibri"/>
        <family val="2"/>
        <scheme val="minor"/>
      </rPr>
      <t xml:space="preserve">
HT: 16xSK10x100
NT: 16xSK10x300</t>
    </r>
  </si>
  <si>
    <r>
      <rPr>
        <b/>
        <sz val="11"/>
        <color theme="1"/>
        <rFont val="Calibri"/>
        <family val="2"/>
        <scheme val="minor"/>
      </rPr>
      <t>RICON® S 290/80 VS Min</t>
    </r>
    <r>
      <rPr>
        <sz val="11"/>
        <color theme="1"/>
        <rFont val="Calibri"/>
        <family val="2"/>
        <scheme val="minor"/>
      </rPr>
      <t xml:space="preserve">
HT: 8xSK10x100
NT: 8xSK10x200</t>
    </r>
  </si>
  <si>
    <r>
      <rPr>
        <b/>
        <sz val="11"/>
        <color theme="1"/>
        <rFont val="Calibri"/>
        <family val="2"/>
        <scheme val="minor"/>
      </rPr>
      <t>RICON® S 290/80 VS ST</t>
    </r>
    <r>
      <rPr>
        <sz val="11"/>
        <color theme="1"/>
        <rFont val="Calibri"/>
        <family val="2"/>
        <scheme val="minor"/>
      </rPr>
      <t xml:space="preserve">
HT: 25xSK10x100
NT: 25xSK10x200</t>
    </r>
  </si>
  <si>
    <r>
      <rPr>
        <b/>
        <sz val="11"/>
        <color theme="1"/>
        <rFont val="Calibri"/>
        <family val="2"/>
        <scheme val="minor"/>
      </rPr>
      <t>RICON® S 290/80 VS Max</t>
    </r>
    <r>
      <rPr>
        <sz val="11"/>
        <color theme="1"/>
        <rFont val="Calibri"/>
        <family val="2"/>
        <scheme val="minor"/>
      </rPr>
      <t xml:space="preserve">
HT: 25 SK 10x100
NT: 25 SK 10x300</t>
    </r>
  </si>
  <si>
    <r>
      <rPr>
        <b/>
        <sz val="11"/>
        <color theme="1"/>
        <rFont val="Calibri"/>
        <family val="2"/>
        <scheme val="minor"/>
      </rPr>
      <t>RICON® S 390/80 VS + ZP Min</t>
    </r>
    <r>
      <rPr>
        <sz val="11"/>
        <color theme="1"/>
        <rFont val="Calibri"/>
        <family val="2"/>
        <scheme val="minor"/>
      </rPr>
      <t xml:space="preserve">
HT: 28xSK10x100 
NT: 28xSK10x200 </t>
    </r>
  </si>
  <si>
    <r>
      <rPr>
        <b/>
        <sz val="11"/>
        <color theme="1"/>
        <rFont val="Calibri"/>
        <family val="2"/>
        <scheme val="minor"/>
      </rPr>
      <t>RICON® S 390/80 VS + ZP ST</t>
    </r>
    <r>
      <rPr>
        <sz val="11"/>
        <color theme="1"/>
        <rFont val="Calibri"/>
        <family val="2"/>
        <scheme val="minor"/>
      </rPr>
      <t xml:space="preserve">
HT: 28xSK10x100 + 2xSK10x400 
NT: 28xSK10x200 + 2xSK10x450</t>
    </r>
  </si>
  <si>
    <r>
      <rPr>
        <b/>
        <sz val="11"/>
        <color theme="1"/>
        <rFont val="Calibri"/>
        <family val="2"/>
        <scheme val="minor"/>
      </rPr>
      <t>RICON® S 390/80 VS + ZP Max</t>
    </r>
    <r>
      <rPr>
        <sz val="11"/>
        <color theme="1"/>
        <rFont val="Calibri"/>
        <family val="2"/>
        <scheme val="minor"/>
      </rPr>
      <t xml:space="preserve">
HT: 28xSK10x100 + 2xSK10x400 
NT: 28xSK10x300 + 2xSK10x450</t>
    </r>
  </si>
  <si>
    <r>
      <rPr>
        <b/>
        <sz val="11"/>
        <color theme="1"/>
        <rFont val="Calibri"/>
        <family val="2"/>
        <scheme val="minor"/>
      </rPr>
      <t>Bild 1:</t>
    </r>
    <r>
      <rPr>
        <sz val="11"/>
        <color theme="1"/>
        <rFont val="Calibri"/>
        <family val="2"/>
        <scheme val="minor"/>
      </rPr>
      <t xml:space="preserve"> RICON® Einzelanschluss</t>
    </r>
  </si>
  <si>
    <r>
      <rPr>
        <b/>
        <sz val="11"/>
        <color theme="1"/>
        <rFont val="Calibri"/>
        <family val="2"/>
        <scheme val="minor"/>
      </rPr>
      <t>Bild 3:</t>
    </r>
    <r>
      <rPr>
        <sz val="11"/>
        <color theme="1"/>
        <rFont val="Calibri"/>
        <family val="2"/>
        <scheme val="minor"/>
      </rPr>
      <t xml:space="preserve"> RICON® Doppelanschluss DA</t>
    </r>
  </si>
  <si>
    <r>
      <rPr>
        <b/>
        <sz val="11"/>
        <color theme="1"/>
        <rFont val="Calibri"/>
        <family val="2"/>
        <scheme val="minor"/>
      </rPr>
      <t>Bild 2:</t>
    </r>
    <r>
      <rPr>
        <sz val="11"/>
        <color theme="1"/>
        <rFont val="Calibri"/>
        <family val="2"/>
        <scheme val="minor"/>
      </rPr>
      <t xml:space="preserve"> Doppel RICON® übereinander</t>
    </r>
  </si>
  <si>
    <r>
      <t>Bild 1:</t>
    </r>
    <r>
      <rPr>
        <sz val="11"/>
        <rFont val="Calibri"/>
        <family val="2"/>
        <scheme val="minor"/>
      </rPr>
      <t xml:space="preserve"> GIGANT Einzelanschluss</t>
    </r>
  </si>
  <si>
    <r>
      <t>Bild 1:</t>
    </r>
    <r>
      <rPr>
        <sz val="12"/>
        <rFont val="Calibri"/>
        <family val="2"/>
        <scheme val="minor"/>
      </rPr>
      <t xml:space="preserve"> RICON® S60 VK Einzelanschluss</t>
    </r>
  </si>
  <si>
    <r>
      <t xml:space="preserve">Bild 1: </t>
    </r>
    <r>
      <rPr>
        <sz val="12"/>
        <color theme="1"/>
        <rFont val="Calibri"/>
        <family val="2"/>
        <scheme val="minor"/>
      </rPr>
      <t>RICON® Pfosten-Riegel Anschluss</t>
    </r>
  </si>
  <si>
    <t>Doppel RICON® sind 2 RICON® unter bzw. hintereinander angeordnet (siehe Bild 2)</t>
  </si>
  <si>
    <t>Ausmittige Glaslast/Riegel [kg]</t>
  </si>
  <si>
    <r>
      <t>Berechnung von F</t>
    </r>
    <r>
      <rPr>
        <vertAlign val="subscript"/>
        <sz val="11"/>
        <rFont val="Calibri"/>
        <family val="2"/>
        <scheme val="minor"/>
      </rPr>
      <t>4,Rd</t>
    </r>
    <r>
      <rPr>
        <sz val="11"/>
        <rFont val="Calibri"/>
        <family val="2"/>
        <scheme val="minor"/>
      </rPr>
      <t xml:space="preserve"> für exzentrische Lasten für Glasdicken t ≤ 53 mm</t>
    </r>
  </si>
  <si>
    <t>Festigkeitsklasse:</t>
  </si>
  <si>
    <t>50/80
50/100**</t>
  </si>
  <si>
    <t>50/100
50/120**</t>
  </si>
  <si>
    <t>50/120
50/140**</t>
  </si>
  <si>
    <t>50/140
50/160**</t>
  </si>
  <si>
    <t>50/160
50/180**</t>
  </si>
  <si>
    <t>50/180
50/200**</t>
  </si>
  <si>
    <t>50/220**</t>
  </si>
  <si>
    <t xml:space="preserve">
50/300**
</t>
  </si>
  <si>
    <t>50/340**</t>
  </si>
  <si>
    <t xml:space="preserve">50/260**
</t>
  </si>
  <si>
    <t>50/100
20/120**</t>
  </si>
  <si>
    <t>z.B. RICON S 140x60 VS Max:</t>
  </si>
  <si>
    <r>
      <t xml:space="preserve">Mindestquerschnitt: 100x260  A= 260cm²,  Schubspannung: </t>
    </r>
    <r>
      <rPr>
        <sz val="11"/>
        <color theme="1"/>
        <rFont val="Symbol"/>
        <family val="1"/>
        <charset val="2"/>
      </rPr>
      <t>t</t>
    </r>
    <r>
      <rPr>
        <sz val="11"/>
        <color theme="1"/>
        <rFont val="Calibri"/>
        <family val="2"/>
        <scheme val="minor"/>
      </rPr>
      <t xml:space="preserve"> = 1,5 * 40,2 / 260 = 0,23 kN/cm²</t>
    </r>
  </si>
  <si>
    <t>100/260
120/220*</t>
  </si>
  <si>
    <t>100/400
120/340*</t>
  </si>
  <si>
    <t>120/480
160/360*</t>
  </si>
  <si>
    <t>120/560
160/420*</t>
  </si>
  <si>
    <t>120/720
140/640*
160/520*</t>
  </si>
  <si>
    <t>120/800
140/680*
160/600*</t>
  </si>
  <si>
    <r>
      <t>* Alternativabmessung des Querschnittes in Bezug auf die gleiche Schubkraft mit F</t>
    </r>
    <r>
      <rPr>
        <vertAlign val="subscript"/>
        <sz val="11"/>
        <color theme="1"/>
        <rFont val="Calibri"/>
        <family val="2"/>
        <scheme val="minor"/>
      </rPr>
      <t>2,Rk</t>
    </r>
    <r>
      <rPr>
        <sz val="11"/>
        <color theme="1"/>
        <rFont val="Calibri"/>
        <family val="2"/>
        <scheme val="minor"/>
      </rPr>
      <t xml:space="preserve"> aus Tabelle.</t>
    </r>
  </si>
  <si>
    <r>
      <t xml:space="preserve">Alternativquerschnitt: 120x220*  A= 264 cm², Schubspannung: </t>
    </r>
    <r>
      <rPr>
        <sz val="11"/>
        <color theme="1"/>
        <rFont val="Symbol"/>
        <family val="1"/>
        <charset val="2"/>
      </rPr>
      <t>t</t>
    </r>
    <r>
      <rPr>
        <sz val="11"/>
        <color theme="1"/>
        <rFont val="Calibri"/>
        <family val="2"/>
        <scheme val="minor"/>
      </rPr>
      <t xml:space="preserve"> = 1,5 * 40,2 / 264 = 0,23 kN/cm²</t>
    </r>
  </si>
  <si>
    <r>
      <t>Die Schubkraft des Nebenträgers ist bei beiden Querschnitten gleich groß. Die Schubkraft ist auf die F</t>
    </r>
    <r>
      <rPr>
        <vertAlign val="subscript"/>
        <sz val="11"/>
        <color theme="1"/>
        <rFont val="Calibri"/>
        <family val="2"/>
        <scheme val="minor"/>
      </rPr>
      <t>2,Rk</t>
    </r>
    <r>
      <rPr>
        <sz val="11"/>
        <color theme="1"/>
        <rFont val="Calibri"/>
        <family val="2"/>
        <scheme val="minor"/>
      </rPr>
      <t xml:space="preserve"> = 40,2 kN (GL24h) Last angepasst.</t>
    </r>
  </si>
  <si>
    <t>RICON 40/40 A2
H: 4xSK5x50
J: 4xSK5x60</t>
  </si>
  <si>
    <t>DE</t>
  </si>
  <si>
    <t>FR</t>
  </si>
  <si>
    <t>RICON® carbon steel:</t>
  </si>
  <si>
    <t>Strength class:</t>
  </si>
  <si>
    <t>Types de bois :</t>
  </si>
  <si>
    <t>Classe de service :</t>
  </si>
  <si>
    <t>Résineux KVH / bois massif</t>
  </si>
  <si>
    <t>Lamellé collé combiné</t>
  </si>
  <si>
    <t>Lamellé collé homogène</t>
  </si>
  <si>
    <t>Feuillus (ex. chêne)</t>
  </si>
  <si>
    <t>Lamibois BauBuche GL75</t>
  </si>
  <si>
    <t>Intérieur</t>
  </si>
  <si>
    <t>Extérieur couvert</t>
  </si>
  <si>
    <t xml:space="preserve">Extérieur </t>
  </si>
  <si>
    <r>
      <rPr>
        <b/>
        <sz val="11"/>
        <color theme="1"/>
        <rFont val="Calibri"/>
        <family val="2"/>
        <scheme val="minor"/>
      </rPr>
      <t>Figure 1:</t>
    </r>
    <r>
      <rPr>
        <sz val="11"/>
        <color theme="1"/>
        <rFont val="Calibri"/>
        <family val="2"/>
        <scheme val="minor"/>
      </rPr>
      <t xml:space="preserve"> RICON® Single connection</t>
    </r>
  </si>
  <si>
    <r>
      <rPr>
        <b/>
        <sz val="11"/>
        <color theme="1"/>
        <rFont val="Calibri"/>
        <family val="2"/>
        <scheme val="minor"/>
      </rPr>
      <t xml:space="preserve">Figure 3: </t>
    </r>
    <r>
      <rPr>
        <sz val="11"/>
        <color theme="1"/>
        <rFont val="Calibri"/>
        <family val="2"/>
        <scheme val="minor"/>
      </rPr>
      <t xml:space="preserve">RICON® DA connection </t>
    </r>
  </si>
  <si>
    <t>Connecteurs Knapp</t>
  </si>
  <si>
    <t>Acier zingué ou galvanisé</t>
  </si>
  <si>
    <t>Min. Nebenträgerabmessungen [mm]</t>
  </si>
  <si>
    <t>Min. joint cross section [mm]</t>
  </si>
  <si>
    <t>Section minimum poutre secondaire [mm]</t>
  </si>
  <si>
    <t>Charakteristische Werte [kN]</t>
  </si>
  <si>
    <t>Valeurs caractéristiques [kN]</t>
  </si>
  <si>
    <r>
      <rPr>
        <b/>
        <sz val="11"/>
        <rFont val="Calibri"/>
        <family val="2"/>
        <scheme val="minor"/>
      </rPr>
      <t>RICON® 60/40</t>
    </r>
    <r>
      <rPr>
        <sz val="11"/>
        <rFont val="Calibri"/>
        <family val="2"/>
        <scheme val="minor"/>
      </rPr>
      <t xml:space="preserve">
H: 1xCS8x50, 2xCS5x50
J: 1xCS8x80, 2xCS5x80</t>
    </r>
  </si>
  <si>
    <r>
      <rPr>
        <b/>
        <sz val="11"/>
        <rFont val="Calibri"/>
        <family val="2"/>
        <scheme val="minor"/>
      </rPr>
      <t xml:space="preserve">RICON® 80/40 </t>
    </r>
    <r>
      <rPr>
        <sz val="11"/>
        <rFont val="Calibri"/>
        <family val="2"/>
        <scheme val="minor"/>
      </rPr>
      <t xml:space="preserve">
H: 2xCS8x50, 2xCS5x50
J: 2xCS8x80, 2xCS5x80</t>
    </r>
  </si>
  <si>
    <r>
      <rPr>
        <b/>
        <sz val="11"/>
        <rFont val="Calibri"/>
        <family val="2"/>
        <scheme val="minor"/>
      </rPr>
      <t xml:space="preserve">RICON® 100/40 </t>
    </r>
    <r>
      <rPr>
        <sz val="11"/>
        <rFont val="Calibri"/>
        <family val="2"/>
        <scheme val="minor"/>
      </rPr>
      <t xml:space="preserve">
H: 2xCS8x50, 4xCS5x50
J: 2xCS8x80, 4xCS5x82</t>
    </r>
  </si>
  <si>
    <r>
      <rPr>
        <b/>
        <sz val="11"/>
        <rFont val="Calibri"/>
        <family val="2"/>
        <scheme val="minor"/>
      </rPr>
      <t xml:space="preserve">RICON® 120/40 </t>
    </r>
    <r>
      <rPr>
        <sz val="11"/>
        <rFont val="Calibri"/>
        <family val="2"/>
        <scheme val="minor"/>
      </rPr>
      <t xml:space="preserve">
H: 2xCS8x50, 6xCS5x50
J: 2xCS8x80, 6xCS5x80</t>
    </r>
  </si>
  <si>
    <r>
      <rPr>
        <b/>
        <sz val="11"/>
        <rFont val="Calibri"/>
        <family val="2"/>
        <scheme val="minor"/>
      </rPr>
      <t xml:space="preserve">RICON® 140/40 </t>
    </r>
    <r>
      <rPr>
        <sz val="11"/>
        <rFont val="Calibri"/>
        <family val="2"/>
        <scheme val="minor"/>
      </rPr>
      <t xml:space="preserve">
H: 2xCS8x50, 8xCS5x50
J: 2xCS8x80, 8xCS5x80</t>
    </r>
  </si>
  <si>
    <r>
      <rPr>
        <b/>
        <sz val="11"/>
        <rFont val="Calibri"/>
        <family val="2"/>
        <scheme val="minor"/>
      </rPr>
      <t xml:space="preserve">RICON® 160/40 </t>
    </r>
    <r>
      <rPr>
        <sz val="11"/>
        <rFont val="Calibri"/>
        <family val="2"/>
        <scheme val="minor"/>
      </rPr>
      <t xml:space="preserve">
H: 2xCS8x50, 10xCS5x50
J: 2xCS8x80, 10xCS5x80</t>
    </r>
  </si>
  <si>
    <r>
      <rPr>
        <b/>
        <sz val="11"/>
        <rFont val="Calibri"/>
        <family val="2"/>
        <scheme val="minor"/>
      </rPr>
      <t>RICON® 100/40 SL</t>
    </r>
    <r>
      <rPr>
        <sz val="11"/>
        <rFont val="Calibri"/>
        <family val="2"/>
        <scheme val="minor"/>
      </rPr>
      <t xml:space="preserve">
H: 2xCS8x50, 4xCS5x50
J: </t>
    </r>
    <r>
      <rPr>
        <b/>
        <sz val="11"/>
        <rFont val="Calibri"/>
        <family val="2"/>
        <scheme val="minor"/>
      </rPr>
      <t>2xCS8x160</t>
    </r>
    <r>
      <rPr>
        <sz val="11"/>
        <rFont val="Calibri"/>
        <family val="2"/>
        <scheme val="minor"/>
      </rPr>
      <t>, 4xCS5x80</t>
    </r>
  </si>
  <si>
    <r>
      <rPr>
        <b/>
        <sz val="11"/>
        <rFont val="Calibri"/>
        <family val="2"/>
        <scheme val="minor"/>
      </rPr>
      <t>RICON® 120/40 SL</t>
    </r>
    <r>
      <rPr>
        <sz val="11"/>
        <rFont val="Calibri"/>
        <family val="2"/>
        <scheme val="minor"/>
      </rPr>
      <t xml:space="preserve">
H: 2xCS8x50, 6xCS5x50
J: </t>
    </r>
    <r>
      <rPr>
        <b/>
        <sz val="11"/>
        <rFont val="Calibri"/>
        <family val="2"/>
        <scheme val="minor"/>
      </rPr>
      <t>2xCS8x160</t>
    </r>
    <r>
      <rPr>
        <sz val="11"/>
        <rFont val="Calibri"/>
        <family val="2"/>
        <scheme val="minor"/>
      </rPr>
      <t>, 6xCS5x80</t>
    </r>
  </si>
  <si>
    <r>
      <rPr>
        <b/>
        <sz val="11"/>
        <rFont val="Calibri"/>
        <family val="2"/>
        <scheme val="minor"/>
      </rPr>
      <t xml:space="preserve">RICON® 140/40 SL </t>
    </r>
    <r>
      <rPr>
        <sz val="11"/>
        <rFont val="Calibri"/>
        <family val="2"/>
        <scheme val="minor"/>
      </rPr>
      <t xml:space="preserve">
H: 2xCS8x50, 8xCS5x50
J: </t>
    </r>
    <r>
      <rPr>
        <b/>
        <sz val="11"/>
        <rFont val="Calibri"/>
        <family val="2"/>
        <scheme val="minor"/>
      </rPr>
      <t>2xCS8x160,</t>
    </r>
    <r>
      <rPr>
        <sz val="11"/>
        <rFont val="Calibri"/>
        <family val="2"/>
        <scheme val="minor"/>
      </rPr>
      <t xml:space="preserve"> 8xCS5x80</t>
    </r>
  </si>
  <si>
    <r>
      <rPr>
        <b/>
        <sz val="11"/>
        <rFont val="Calibri"/>
        <family val="2"/>
        <scheme val="minor"/>
      </rPr>
      <t xml:space="preserve">RICON® 160/40 SL </t>
    </r>
    <r>
      <rPr>
        <sz val="11"/>
        <rFont val="Calibri"/>
        <family val="2"/>
        <scheme val="minor"/>
      </rPr>
      <t xml:space="preserve">
H: 2xCS8x50, 10xCS5x50
J: </t>
    </r>
    <r>
      <rPr>
        <b/>
        <sz val="11"/>
        <rFont val="Calibri"/>
        <family val="2"/>
        <scheme val="minor"/>
      </rPr>
      <t>2xCS8x160,</t>
    </r>
    <r>
      <rPr>
        <sz val="11"/>
        <rFont val="Calibri"/>
        <family val="2"/>
        <scheme val="minor"/>
      </rPr>
      <t xml:space="preserve"> 10xCS5x80</t>
    </r>
  </si>
  <si>
    <r>
      <rPr>
        <b/>
        <sz val="11"/>
        <rFont val="Calibri"/>
        <family val="2"/>
        <scheme val="minor"/>
      </rPr>
      <t>Double RICON® 80/40 *</t>
    </r>
    <r>
      <rPr>
        <sz val="11"/>
        <rFont val="Calibri"/>
        <family val="2"/>
        <scheme val="minor"/>
      </rPr>
      <t xml:space="preserve">
H: 3xCS8x50, 4xCS5x50
J: 3xCS8x80, 4xCS5x80</t>
    </r>
  </si>
  <si>
    <r>
      <rPr>
        <b/>
        <sz val="11"/>
        <rFont val="Calibri"/>
        <family val="2"/>
        <scheme val="minor"/>
      </rPr>
      <t xml:space="preserve">Double RICON® 100/40 * </t>
    </r>
    <r>
      <rPr>
        <sz val="11"/>
        <rFont val="Calibri"/>
        <family val="2"/>
        <scheme val="minor"/>
      </rPr>
      <t xml:space="preserve">
H: 3xCS8x50, 8xCS5x50
J: 3xCS8x80, 8xCS5x80</t>
    </r>
  </si>
  <si>
    <r>
      <rPr>
        <b/>
        <sz val="11"/>
        <rFont val="Calibri"/>
        <family val="2"/>
        <scheme val="minor"/>
      </rPr>
      <t>Double RICON® 120/40 *</t>
    </r>
    <r>
      <rPr>
        <sz val="11"/>
        <rFont val="Calibri"/>
        <family val="2"/>
        <scheme val="minor"/>
      </rPr>
      <t xml:space="preserve">
H: 3xCS8x50, 12xCS5x50
J: 3xCS8x80, 12xCS5x80</t>
    </r>
  </si>
  <si>
    <r>
      <rPr>
        <b/>
        <sz val="11"/>
        <rFont val="Calibri"/>
        <family val="2"/>
        <scheme val="minor"/>
      </rPr>
      <t>Double RICON® 140/40 *</t>
    </r>
    <r>
      <rPr>
        <sz val="11"/>
        <rFont val="Calibri"/>
        <family val="2"/>
        <scheme val="minor"/>
      </rPr>
      <t xml:space="preserve">
H: 3xCS8x50, 16xCS5x50
J: 3xCS8x80, 16xCS5x80</t>
    </r>
  </si>
  <si>
    <r>
      <rPr>
        <b/>
        <sz val="11"/>
        <rFont val="Calibri"/>
        <family val="2"/>
        <scheme val="minor"/>
      </rPr>
      <t>Double RICON® 160/40 *</t>
    </r>
    <r>
      <rPr>
        <sz val="11"/>
        <rFont val="Calibri"/>
        <family val="2"/>
        <scheme val="minor"/>
      </rPr>
      <t xml:space="preserve">
H: 3xCS8x50, 20xCS5x50
J: 3xCS8x80, 20xCS5x80</t>
    </r>
  </si>
  <si>
    <r>
      <rPr>
        <b/>
        <sz val="11"/>
        <rFont val="Calibri"/>
        <family val="2"/>
        <scheme val="minor"/>
      </rPr>
      <t>RICON® 60/40</t>
    </r>
    <r>
      <rPr>
        <sz val="11"/>
        <rFont val="Calibri"/>
        <family val="2"/>
        <scheme val="minor"/>
      </rPr>
      <t xml:space="preserve">
PP : 1 vis TF 8x50, 2 vis TF 5x50
PS : 1 vis TF 8x80, 2 vis TF 5x80</t>
    </r>
  </si>
  <si>
    <r>
      <rPr>
        <b/>
        <sz val="11"/>
        <rFont val="Calibri"/>
        <family val="2"/>
        <scheme val="minor"/>
      </rPr>
      <t xml:space="preserve">RICON® 80/40 </t>
    </r>
    <r>
      <rPr>
        <sz val="11"/>
        <rFont val="Calibri"/>
        <family val="2"/>
        <scheme val="minor"/>
      </rPr>
      <t xml:space="preserve">
PP : 2 vis TF 8x50, 2 vis TF 5x50
PS : 2 vis TF 8x80, 2 vis TF 5x80</t>
    </r>
  </si>
  <si>
    <r>
      <rPr>
        <b/>
        <sz val="11"/>
        <rFont val="Calibri"/>
        <family val="2"/>
        <scheme val="minor"/>
      </rPr>
      <t xml:space="preserve">RICON® 100/40 </t>
    </r>
    <r>
      <rPr>
        <sz val="11"/>
        <rFont val="Calibri"/>
        <family val="2"/>
        <scheme val="minor"/>
      </rPr>
      <t xml:space="preserve">
PP : 2 vis TF 8x50, 4 vis TF 5x50
PS : 2 vis TF 8x80, 4 vis TF 5x80</t>
    </r>
  </si>
  <si>
    <r>
      <rPr>
        <b/>
        <sz val="11"/>
        <rFont val="Calibri"/>
        <family val="2"/>
        <scheme val="minor"/>
      </rPr>
      <t xml:space="preserve">RICON® 120/40 </t>
    </r>
    <r>
      <rPr>
        <sz val="11"/>
        <rFont val="Calibri"/>
        <family val="2"/>
        <scheme val="minor"/>
      </rPr>
      <t xml:space="preserve">
PP : 2 vis TF 8x50, 6 vis TF 5x50
PS : 2 vis TF 8x80, 6 vis TF 5x80</t>
    </r>
  </si>
  <si>
    <r>
      <rPr>
        <b/>
        <sz val="11"/>
        <rFont val="Calibri"/>
        <family val="2"/>
        <scheme val="minor"/>
      </rPr>
      <t xml:space="preserve">RICON® 140/40 </t>
    </r>
    <r>
      <rPr>
        <sz val="11"/>
        <rFont val="Calibri"/>
        <family val="2"/>
        <scheme val="minor"/>
      </rPr>
      <t xml:space="preserve">
PP : 2 vis TF 8x50, 8 vis TF 5x50
PS : 2 vis TF 8x80, 8 vis TF 5x80</t>
    </r>
  </si>
  <si>
    <r>
      <rPr>
        <b/>
        <sz val="11"/>
        <rFont val="Calibri"/>
        <family val="2"/>
        <scheme val="minor"/>
      </rPr>
      <t xml:space="preserve">RICON® 160/40 </t>
    </r>
    <r>
      <rPr>
        <sz val="11"/>
        <rFont val="Calibri"/>
        <family val="2"/>
        <scheme val="minor"/>
      </rPr>
      <t xml:space="preserve">
PP : 2 vis TF 8x50, 10 vis TF 5x50
PS : 2 vis TF 8x80, 10 vis TF 5x80</t>
    </r>
  </si>
  <si>
    <r>
      <rPr>
        <b/>
        <sz val="11"/>
        <rFont val="Calibri"/>
        <family val="2"/>
        <scheme val="minor"/>
      </rPr>
      <t xml:space="preserve">RICON® 100/40 SL </t>
    </r>
    <r>
      <rPr>
        <sz val="11"/>
        <rFont val="Calibri"/>
        <family val="2"/>
        <scheme val="minor"/>
      </rPr>
      <t xml:space="preserve">
PP : 2 vis TF 8x50, 4 vis TF 5x50
PS : 2 vis TF 8x160, 4 vis TF 5x79</t>
    </r>
  </si>
  <si>
    <r>
      <rPr>
        <b/>
        <sz val="11"/>
        <rFont val="Calibri"/>
        <family val="2"/>
        <scheme val="minor"/>
      </rPr>
      <t xml:space="preserve">RICON® 120/40 SL </t>
    </r>
    <r>
      <rPr>
        <sz val="11"/>
        <rFont val="Calibri"/>
        <family val="2"/>
        <scheme val="minor"/>
      </rPr>
      <t xml:space="preserve">
PP : 2 vis TF 8x50, 6 vis TF 5x50
PS : 2 vis TF 8x160, 6 vis TF 5x80</t>
    </r>
  </si>
  <si>
    <r>
      <rPr>
        <b/>
        <sz val="11"/>
        <rFont val="Calibri"/>
        <family val="2"/>
        <scheme val="minor"/>
      </rPr>
      <t xml:space="preserve">RICON® 140/40 SL </t>
    </r>
    <r>
      <rPr>
        <sz val="11"/>
        <rFont val="Calibri"/>
        <family val="2"/>
        <scheme val="minor"/>
      </rPr>
      <t xml:space="preserve">
PP : 2 vis TF 8x50, 8 vis TF 5x50
PS : 2 vis TF 8x160, 8 vis TF 5x80</t>
    </r>
  </si>
  <si>
    <r>
      <rPr>
        <b/>
        <sz val="11"/>
        <rFont val="Calibri"/>
        <family val="2"/>
        <scheme val="minor"/>
      </rPr>
      <t xml:space="preserve">RICON® 160/40 SL </t>
    </r>
    <r>
      <rPr>
        <sz val="11"/>
        <rFont val="Calibri"/>
        <family val="2"/>
        <scheme val="minor"/>
      </rPr>
      <t xml:space="preserve">
PP : 2 vis TF 8x50, 10 vis TF 5x50
PS : 2 vis TF 8x160, 10 vis TF 5x80</t>
    </r>
  </si>
  <si>
    <r>
      <rPr>
        <b/>
        <sz val="11"/>
        <rFont val="Calibri"/>
        <family val="2"/>
        <scheme val="minor"/>
      </rPr>
      <t>Double RICON® 80/40 *</t>
    </r>
    <r>
      <rPr>
        <sz val="11"/>
        <rFont val="Calibri"/>
        <family val="2"/>
        <scheme val="minor"/>
      </rPr>
      <t xml:space="preserve">
PP : 3 vis TF 8x50, 4 vis TF 5x50
PS : 3 vis TF 8x80, 4 vis TF 5x80</t>
    </r>
  </si>
  <si>
    <r>
      <rPr>
        <b/>
        <sz val="11"/>
        <rFont val="Calibri"/>
        <family val="2"/>
        <scheme val="minor"/>
      </rPr>
      <t>Double RICON® 100/40 *</t>
    </r>
    <r>
      <rPr>
        <sz val="11"/>
        <rFont val="Calibri"/>
        <family val="2"/>
        <scheme val="minor"/>
      </rPr>
      <t xml:space="preserve">
PP : 3 vis TF 8x50, 8 vis TF 5x50
PS : 3 vis TF 8x80, 8 vis TF 5x80</t>
    </r>
  </si>
  <si>
    <r>
      <rPr>
        <b/>
        <sz val="11"/>
        <rFont val="Calibri"/>
        <family val="2"/>
        <scheme val="minor"/>
      </rPr>
      <t>Double RICON® 120/40 *</t>
    </r>
    <r>
      <rPr>
        <sz val="11"/>
        <rFont val="Calibri"/>
        <family val="2"/>
        <scheme val="minor"/>
      </rPr>
      <t xml:space="preserve">
PP : 3 vis TF 8x50, 12 vis TF 5x50
PS : 3 vis TF 8x80, 12 vis TF 5x80</t>
    </r>
  </si>
  <si>
    <r>
      <rPr>
        <b/>
        <sz val="11"/>
        <rFont val="Calibri"/>
        <family val="2"/>
        <scheme val="minor"/>
      </rPr>
      <t>Double RICON® 140/40 *</t>
    </r>
    <r>
      <rPr>
        <sz val="11"/>
        <rFont val="Calibri"/>
        <family val="2"/>
        <scheme val="minor"/>
      </rPr>
      <t xml:space="preserve">
PP : 3 vis TF 8x50, 16 vis TF 5x50
PS : 3 vis TF 8x80, 16 vis TF 5x80</t>
    </r>
  </si>
  <si>
    <r>
      <rPr>
        <b/>
        <sz val="11"/>
        <rFont val="Calibri"/>
        <family val="2"/>
        <scheme val="minor"/>
      </rPr>
      <t>Double RICON® 160/40 *</t>
    </r>
    <r>
      <rPr>
        <sz val="11"/>
        <rFont val="Calibri"/>
        <family val="2"/>
        <scheme val="minor"/>
      </rPr>
      <t xml:space="preserve">
PP : 3 vis TF 8x50, 20 vis TF 5x50
PS : 3 vis TF 8x80, 20 vis TF 5x80</t>
    </r>
  </si>
  <si>
    <t>* Double RICON®</t>
  </si>
  <si>
    <t>Calcul de F2,Rd :</t>
  </si>
  <si>
    <t>Calulation of F2,Rd:</t>
  </si>
  <si>
    <t>Berechnung von F2,Rd:</t>
  </si>
  <si>
    <t xml:space="preserve">** Angegebene Mindestquerschnitte bei denen das Verhältnis a/HN &gt; 0,7 eingehalten werden kann </t>
  </si>
  <si>
    <t>=&gt; Die Querzugspannung im Nebenträger sind OK</t>
  </si>
  <si>
    <t xml:space="preserve">**  Specified minimum cross-sections for which the ratio a / HN &gt; 0.7 can be maintained </t>
  </si>
  <si>
    <t>=&gt; The shear reinforcement in the secondary beam (joist) is OK</t>
  </si>
  <si>
    <t>=&gt; Les contraintes de traction transversale dans la poutre secondaire sont OK</t>
  </si>
  <si>
    <t>Wenn das Verhältnis a/HN &lt; 0,7 =&gt;  Querzugspannung im Nebenträger müssen ermittelt werden oder der Nebenträger ist mit sebstbohrenden Vollgewindeschrauben Querzug zu verstärken.</t>
  </si>
  <si>
    <t>If the ratio a / HN &lt; 0.7  =&gt; the transverse tensile stresses in the secondary beam must be determined, or the secondary beam must be reinforced with self-tapping fully threaded screws</t>
  </si>
  <si>
    <t>RICON® stainless steel:</t>
  </si>
  <si>
    <t>Inox</t>
  </si>
  <si>
    <t>60/60</t>
  </si>
  <si>
    <r>
      <rPr>
        <b/>
        <sz val="11"/>
        <rFont val="Calibri"/>
        <family val="2"/>
        <scheme val="minor"/>
      </rPr>
      <t>RICON® 80/40 A2</t>
    </r>
    <r>
      <rPr>
        <sz val="10"/>
        <rFont val="Calibri"/>
        <family val="2"/>
        <scheme val="minor"/>
      </rPr>
      <t xml:space="preserve">
H: 2xCS8x50, 2xCS5x50
J: 2xCS8x80, 2xCS5x80</t>
    </r>
  </si>
  <si>
    <r>
      <rPr>
        <b/>
        <sz val="11"/>
        <rFont val="Calibri"/>
        <family val="2"/>
        <scheme val="minor"/>
      </rPr>
      <t>RICON® 160/40 A2</t>
    </r>
    <r>
      <rPr>
        <sz val="10"/>
        <rFont val="Calibri"/>
        <family val="2"/>
        <scheme val="minor"/>
      </rPr>
      <t xml:space="preserve">
H: 2xCS8x50, 10xCS5x50
J: 2xCS8x80, 10xCS5x80</t>
    </r>
  </si>
  <si>
    <r>
      <rPr>
        <b/>
        <sz val="11"/>
        <rFont val="Calibri"/>
        <family val="2"/>
        <scheme val="minor"/>
      </rPr>
      <t>Double RICON® 80/40 A2 *</t>
    </r>
    <r>
      <rPr>
        <sz val="10"/>
        <rFont val="Calibri"/>
        <family val="2"/>
        <scheme val="minor"/>
      </rPr>
      <t xml:space="preserve">
H: 3xCS8x50, 4xCS5x50
J: 3xCS8x80, 4xCS5x80</t>
    </r>
  </si>
  <si>
    <r>
      <rPr>
        <b/>
        <sz val="11"/>
        <rFont val="Calibri"/>
        <family val="2"/>
        <scheme val="minor"/>
      </rPr>
      <t>Double RICON® 160/40 A2 *</t>
    </r>
    <r>
      <rPr>
        <sz val="10"/>
        <rFont val="Calibri"/>
        <family val="2"/>
        <scheme val="minor"/>
      </rPr>
      <t xml:space="preserve">
H: 3xCS8x50, 20xCS5x50
J: 3xCS8x80, 20xCS5x80</t>
    </r>
  </si>
  <si>
    <r>
      <rPr>
        <b/>
        <sz val="11"/>
        <rFont val="Calibri"/>
        <family val="2"/>
        <scheme val="minor"/>
      </rPr>
      <t>RICON® 60/30 A2</t>
    </r>
    <r>
      <rPr>
        <sz val="10"/>
        <rFont val="Calibri"/>
        <family val="2"/>
        <scheme val="minor"/>
      </rPr>
      <t xml:space="preserve">
H: 1xCS8x50, 2xCS5x50
J: 1xCS8x80, 2xCS5x80</t>
    </r>
  </si>
  <si>
    <r>
      <rPr>
        <b/>
        <sz val="11"/>
        <rFont val="Calibri"/>
        <family val="2"/>
        <scheme val="minor"/>
      </rPr>
      <t>RICON® 80/30 A2</t>
    </r>
    <r>
      <rPr>
        <sz val="10"/>
        <rFont val="Calibri"/>
        <family val="2"/>
        <scheme val="minor"/>
      </rPr>
      <t xml:space="preserve">
H: 2xCS8x50, 2xCS5x50
J: 2xCS8x80, 2xCS5x80</t>
    </r>
  </si>
  <si>
    <r>
      <rPr>
        <b/>
        <sz val="11"/>
        <rFont val="Calibri"/>
        <family val="2"/>
        <scheme val="minor"/>
      </rPr>
      <t>RICON® 100/30 A2</t>
    </r>
    <r>
      <rPr>
        <sz val="10"/>
        <rFont val="Calibri"/>
        <family val="2"/>
        <scheme val="minor"/>
      </rPr>
      <t xml:space="preserve">
H: 2xCS8x50, 4xCS5x50
J: 2xCS8x80, 4xCS5x80</t>
    </r>
  </si>
  <si>
    <r>
      <rPr>
        <b/>
        <sz val="11"/>
        <rFont val="Calibri"/>
        <family val="2"/>
        <scheme val="minor"/>
      </rPr>
      <t>RICON® 120/30 A2</t>
    </r>
    <r>
      <rPr>
        <sz val="10"/>
        <rFont val="Calibri"/>
        <family val="2"/>
        <scheme val="minor"/>
      </rPr>
      <t xml:space="preserve">
H: 2xCS8x50, 6xCS5x50
J: 2xCS8x80, 6xCS5x80</t>
    </r>
  </si>
  <si>
    <r>
      <rPr>
        <b/>
        <sz val="11"/>
        <rFont val="Calibri"/>
        <family val="2"/>
        <scheme val="minor"/>
      </rPr>
      <t>RICON® 140/30 A2</t>
    </r>
    <r>
      <rPr>
        <sz val="10"/>
        <rFont val="Calibri"/>
        <family val="2"/>
        <scheme val="minor"/>
      </rPr>
      <t xml:space="preserve">
H: 2xCS8x50, 8xCS5x50
J: 2xCS8x80, 8xCS5x80</t>
    </r>
  </si>
  <si>
    <r>
      <rPr>
        <b/>
        <sz val="11"/>
        <rFont val="Calibri"/>
        <family val="2"/>
        <scheme val="minor"/>
      </rPr>
      <t>RICON® 160/30 A2</t>
    </r>
    <r>
      <rPr>
        <sz val="10"/>
        <rFont val="Calibri"/>
        <family val="2"/>
        <scheme val="minor"/>
      </rPr>
      <t xml:space="preserve">
H: 2xCS8x50, 10xCS5x50
J: 2xCS8x80, 10xCS5x80</t>
    </r>
  </si>
  <si>
    <r>
      <rPr>
        <b/>
        <sz val="11"/>
        <rFont val="Calibri"/>
        <family val="2"/>
        <scheme val="minor"/>
      </rPr>
      <t>Double RICON® 80/30 A2 *</t>
    </r>
    <r>
      <rPr>
        <sz val="10"/>
        <rFont val="Calibri"/>
        <family val="2"/>
        <scheme val="minor"/>
      </rPr>
      <t xml:space="preserve">
H: 3xCS8x50, 4xCS5x50
J: 3xCS8x80, 4xCS5x80</t>
    </r>
  </si>
  <si>
    <r>
      <rPr>
        <b/>
        <sz val="11"/>
        <rFont val="Calibri"/>
        <family val="2"/>
        <scheme val="minor"/>
      </rPr>
      <t>Double RICON® 100/30 A2 *</t>
    </r>
    <r>
      <rPr>
        <sz val="10"/>
        <rFont val="Calibri"/>
        <family val="2"/>
        <scheme val="minor"/>
      </rPr>
      <t xml:space="preserve">
H: 3xCS8x50, 8xCS5x50
J: 3xCS8x80, 8xCS5x80</t>
    </r>
  </si>
  <si>
    <r>
      <rPr>
        <b/>
        <sz val="11"/>
        <rFont val="Calibri"/>
        <family val="2"/>
        <scheme val="minor"/>
      </rPr>
      <t>Double RICON® 120/30 A2 *</t>
    </r>
    <r>
      <rPr>
        <sz val="10"/>
        <rFont val="Calibri"/>
        <family val="2"/>
        <scheme val="minor"/>
      </rPr>
      <t xml:space="preserve">
H: 3xCS8x50, 12xCS5x50
J: 3xCS8x80, 12xCS5x80</t>
    </r>
  </si>
  <si>
    <r>
      <rPr>
        <b/>
        <sz val="11"/>
        <rFont val="Calibri"/>
        <family val="2"/>
        <scheme val="minor"/>
      </rPr>
      <t>Double RICON® 140/30 A2 *</t>
    </r>
    <r>
      <rPr>
        <sz val="10"/>
        <rFont val="Calibri"/>
        <family val="2"/>
        <scheme val="minor"/>
      </rPr>
      <t xml:space="preserve">
H: 3xCS8x50, 16xCS5x50
J: 3xCS8x80, 16xCS5x80</t>
    </r>
  </si>
  <si>
    <r>
      <rPr>
        <b/>
        <sz val="11"/>
        <rFont val="Calibri"/>
        <family val="2"/>
        <scheme val="minor"/>
      </rPr>
      <t>Double RICON® 160/30 A2 *</t>
    </r>
    <r>
      <rPr>
        <sz val="10"/>
        <rFont val="Calibri"/>
        <family val="2"/>
        <scheme val="minor"/>
      </rPr>
      <t xml:space="preserve">
H: 3xCS8x50, 20xCS5x50
J: 3xCS8x80, 20xCS5x80</t>
    </r>
  </si>
  <si>
    <r>
      <rPr>
        <b/>
        <sz val="11"/>
        <rFont val="Calibri"/>
        <family val="2"/>
        <scheme val="minor"/>
      </rPr>
      <t>RICON® 70/20 A2</t>
    </r>
    <r>
      <rPr>
        <sz val="10"/>
        <rFont val="Calibri"/>
        <family val="2"/>
        <scheme val="minor"/>
      </rPr>
      <t xml:space="preserve">
H: 3xCS5x50
J: 3xCS5x80</t>
    </r>
  </si>
  <si>
    <r>
      <rPr>
        <b/>
        <sz val="11"/>
        <rFont val="Calibri"/>
        <family val="2"/>
        <scheme val="minor"/>
      </rPr>
      <t>RICON® 66/16 A2</t>
    </r>
    <r>
      <rPr>
        <sz val="10"/>
        <rFont val="Calibri"/>
        <family val="2"/>
        <scheme val="minor"/>
      </rPr>
      <t xml:space="preserve">
H: 3xCS5x50
J: 3xCS5x80</t>
    </r>
  </si>
  <si>
    <r>
      <rPr>
        <b/>
        <sz val="11"/>
        <rFont val="Calibri"/>
        <family val="2"/>
        <scheme val="minor"/>
      </rPr>
      <t>RICON® 80/40 A2</t>
    </r>
    <r>
      <rPr>
        <sz val="11"/>
        <rFont val="Calibri"/>
        <family val="2"/>
        <scheme val="minor"/>
      </rPr>
      <t xml:space="preserve">
PP : 2 vis TF 8x50, 2 vis TF 5x50
PS : 2 vis TF 8x80, 2 vis TF 5x80</t>
    </r>
  </si>
  <si>
    <r>
      <rPr>
        <b/>
        <sz val="11"/>
        <rFont val="Calibri"/>
        <family val="2"/>
        <scheme val="minor"/>
      </rPr>
      <t>RICON® 100/40 A2</t>
    </r>
    <r>
      <rPr>
        <sz val="11"/>
        <rFont val="Calibri"/>
        <family val="2"/>
        <scheme val="minor"/>
      </rPr>
      <t xml:space="preserve">
PP : 2 vis TF 8x50, 4 vis TF 5x50
PS : 2 vis TF 8x80, 4 vis TF 5x80</t>
    </r>
  </si>
  <si>
    <r>
      <rPr>
        <b/>
        <sz val="11"/>
        <rFont val="Calibri"/>
        <family val="2"/>
        <scheme val="minor"/>
      </rPr>
      <t>RICON® 120/40 A2</t>
    </r>
    <r>
      <rPr>
        <sz val="11"/>
        <rFont val="Calibri"/>
        <family val="2"/>
        <scheme val="minor"/>
      </rPr>
      <t xml:space="preserve">
PP : 2 vis TF 8x50, 6 vis TF 5x50
PS : 2 vis TF 8x80, 6 vis TF 5x80</t>
    </r>
  </si>
  <si>
    <r>
      <rPr>
        <b/>
        <sz val="11"/>
        <rFont val="Calibri"/>
        <family val="2"/>
        <scheme val="minor"/>
      </rPr>
      <t>RICON® 140/40 A2</t>
    </r>
    <r>
      <rPr>
        <sz val="11"/>
        <rFont val="Calibri"/>
        <family val="2"/>
        <scheme val="minor"/>
      </rPr>
      <t xml:space="preserve">
PP : 2 vis TF 8x50, 8 vis TF 5x50
PS : 2 vis TF 8x80, 8 vis TF 5x80</t>
    </r>
  </si>
  <si>
    <r>
      <rPr>
        <b/>
        <sz val="11"/>
        <rFont val="Calibri"/>
        <family val="2"/>
        <scheme val="minor"/>
      </rPr>
      <t>RICON® 160/40 A2</t>
    </r>
    <r>
      <rPr>
        <sz val="11"/>
        <rFont val="Calibri"/>
        <family val="2"/>
        <scheme val="minor"/>
      </rPr>
      <t xml:space="preserve">
PP : 2 vis TF 8x50, 10 vis TF 5x50
PS : 2 vis TF 8x80, 10 vis TF 5x80</t>
    </r>
  </si>
  <si>
    <r>
      <rPr>
        <b/>
        <sz val="11"/>
        <rFont val="Calibri"/>
        <family val="2"/>
        <scheme val="minor"/>
      </rPr>
      <t>Double RICON® 80/40 A2</t>
    </r>
    <r>
      <rPr>
        <sz val="11"/>
        <rFont val="Calibri"/>
        <family val="2"/>
        <scheme val="minor"/>
      </rPr>
      <t xml:space="preserve">
PP : 3 vis TF 8x50, 4 vis TF 5x50
PS : 3 vis TF 8x80, 4 vis TF 5x80</t>
    </r>
  </si>
  <si>
    <r>
      <rPr>
        <b/>
        <sz val="11"/>
        <rFont val="Calibri"/>
        <family val="2"/>
        <scheme val="minor"/>
      </rPr>
      <t>Double RICON® 100/40 A2</t>
    </r>
    <r>
      <rPr>
        <sz val="11"/>
        <rFont val="Calibri"/>
        <family val="2"/>
        <scheme val="minor"/>
      </rPr>
      <t xml:space="preserve">
PP : 3 vis TF 8x50, 8 vis TF 5x50
PS : 3 vis TF 8x80, 8 vis TF 5x80</t>
    </r>
  </si>
  <si>
    <r>
      <rPr>
        <b/>
        <sz val="11"/>
        <rFont val="Calibri"/>
        <family val="2"/>
        <scheme val="minor"/>
      </rPr>
      <t>Double RICON® 120/40 A2</t>
    </r>
    <r>
      <rPr>
        <sz val="11"/>
        <rFont val="Calibri"/>
        <family val="2"/>
        <scheme val="minor"/>
      </rPr>
      <t xml:space="preserve">
PP : 3 vis TF 8x50, 12 vis TF 5x50
PS : 3 vis TF 8x80, 12 vis TF 5x80</t>
    </r>
  </si>
  <si>
    <r>
      <rPr>
        <b/>
        <sz val="11"/>
        <rFont val="Calibri"/>
        <family val="2"/>
        <scheme val="minor"/>
      </rPr>
      <t>Double RICON® 140/40 A2</t>
    </r>
    <r>
      <rPr>
        <sz val="11"/>
        <rFont val="Calibri"/>
        <family val="2"/>
        <scheme val="minor"/>
      </rPr>
      <t xml:space="preserve">
PP : 3 vis TF 8x50, 16 vis TF 5x50
PS : 3 vis TF 8x80, 16 vis TF 5x80</t>
    </r>
  </si>
  <si>
    <r>
      <rPr>
        <b/>
        <sz val="11"/>
        <rFont val="Calibri"/>
        <family val="2"/>
        <scheme val="minor"/>
      </rPr>
      <t>Double RICON® 160/40 A2</t>
    </r>
    <r>
      <rPr>
        <sz val="11"/>
        <rFont val="Calibri"/>
        <family val="2"/>
        <scheme val="minor"/>
      </rPr>
      <t xml:space="preserve">
PP : 3 vis TF 8x50, 20 vis TF 5x50
PS : 3 vis TF 8x80, 20 vis TF 5x80</t>
    </r>
  </si>
  <si>
    <r>
      <rPr>
        <b/>
        <sz val="11"/>
        <rFont val="Calibri"/>
        <family val="2"/>
        <scheme val="minor"/>
      </rPr>
      <t>RICON® 60/30 A2</t>
    </r>
    <r>
      <rPr>
        <sz val="11"/>
        <rFont val="Calibri"/>
        <family val="2"/>
        <scheme val="minor"/>
      </rPr>
      <t xml:space="preserve">
PP : 1 vis TF 8x50, 2 vis TF 5x50
PS : 1 vis TF 8x80, 2 vis TF 5x80</t>
    </r>
  </si>
  <si>
    <r>
      <rPr>
        <b/>
        <sz val="11"/>
        <rFont val="Calibri"/>
        <family val="2"/>
        <scheme val="minor"/>
      </rPr>
      <t>RICON® 80/30 A2</t>
    </r>
    <r>
      <rPr>
        <sz val="11"/>
        <rFont val="Calibri"/>
        <family val="2"/>
        <scheme val="minor"/>
      </rPr>
      <t xml:space="preserve">
PP : 2 vis TF 8x50, 2 vis TF 5x50
PS : 2 vis TF 8x80, 2 vis TF 5x80</t>
    </r>
  </si>
  <si>
    <r>
      <rPr>
        <b/>
        <sz val="11"/>
        <rFont val="Calibri"/>
        <family val="2"/>
        <scheme val="minor"/>
      </rPr>
      <t>RICON® 100/30 A2</t>
    </r>
    <r>
      <rPr>
        <sz val="11"/>
        <rFont val="Calibri"/>
        <family val="2"/>
        <scheme val="minor"/>
      </rPr>
      <t xml:space="preserve">
PP : 2 vis TF 8x50, 4 vis TF 5x50
PS : 2 vis TF 8x80, 4 vis TF 5x80</t>
    </r>
  </si>
  <si>
    <r>
      <rPr>
        <b/>
        <sz val="11"/>
        <rFont val="Calibri"/>
        <family val="2"/>
        <scheme val="minor"/>
      </rPr>
      <t>RICON® 120/30 A2</t>
    </r>
    <r>
      <rPr>
        <sz val="11"/>
        <rFont val="Calibri"/>
        <family val="2"/>
        <scheme val="minor"/>
      </rPr>
      <t xml:space="preserve">
PP : 2 vis TF 8x50, 6 vis TF 5x50
PS : 2 vis TF 8x80, 6 vis TF 5x80</t>
    </r>
  </si>
  <si>
    <r>
      <rPr>
        <b/>
        <sz val="11"/>
        <rFont val="Calibri"/>
        <family val="2"/>
        <scheme val="minor"/>
      </rPr>
      <t>RICON® 140/30 A2</t>
    </r>
    <r>
      <rPr>
        <sz val="11"/>
        <rFont val="Calibri"/>
        <family val="2"/>
        <scheme val="minor"/>
      </rPr>
      <t xml:space="preserve">
PP : 2 vis TF 8x50, 8 vis TF 5x50
PS : 2 vis TF 8x80, 8 vis TF 5x80</t>
    </r>
  </si>
  <si>
    <r>
      <rPr>
        <b/>
        <sz val="11"/>
        <rFont val="Calibri"/>
        <family val="2"/>
        <scheme val="minor"/>
      </rPr>
      <t>RICON® 160/30 A2</t>
    </r>
    <r>
      <rPr>
        <sz val="11"/>
        <rFont val="Calibri"/>
        <family val="2"/>
        <scheme val="minor"/>
      </rPr>
      <t xml:space="preserve">
PP : 2 vis TF 8x50, 10 vis TF 5x50
PS : 2 vis TF 8x80, 10 vis TF 5x80</t>
    </r>
  </si>
  <si>
    <r>
      <rPr>
        <b/>
        <sz val="11"/>
        <rFont val="Calibri"/>
        <family val="2"/>
        <scheme val="minor"/>
      </rPr>
      <t>Double RICON® 80/30 A2</t>
    </r>
    <r>
      <rPr>
        <sz val="11"/>
        <rFont val="Calibri"/>
        <family val="2"/>
        <scheme val="minor"/>
      </rPr>
      <t xml:space="preserve">
PP : 3 vis TF 8x50, 4 vis TF 5x50
PS : 3 vis TF 8x80, 4 vis TF 5x80</t>
    </r>
  </si>
  <si>
    <r>
      <rPr>
        <b/>
        <sz val="11"/>
        <rFont val="Calibri"/>
        <family val="2"/>
        <scheme val="minor"/>
      </rPr>
      <t>Double RICON® 100/30 A2</t>
    </r>
    <r>
      <rPr>
        <sz val="11"/>
        <rFont val="Calibri"/>
        <family val="2"/>
        <scheme val="minor"/>
      </rPr>
      <t xml:space="preserve">
PP : 3 vis TF 8x50, 8 vis TF 5x50
PS : 3 vis TF 8x80, 8 vis TF 5x80</t>
    </r>
  </si>
  <si>
    <r>
      <rPr>
        <b/>
        <sz val="11"/>
        <rFont val="Calibri"/>
        <family val="2"/>
        <scheme val="minor"/>
      </rPr>
      <t>Double RICON® 120/30 A2</t>
    </r>
    <r>
      <rPr>
        <sz val="11"/>
        <rFont val="Calibri"/>
        <family val="2"/>
        <scheme val="minor"/>
      </rPr>
      <t xml:space="preserve">
PP : 3 vis TF 8x50, 12 vis TF 5x50
PS : 3 vis TF 8x80, 12 vis TF 5x80</t>
    </r>
  </si>
  <si>
    <r>
      <rPr>
        <b/>
        <sz val="11"/>
        <rFont val="Calibri"/>
        <family val="2"/>
        <scheme val="minor"/>
      </rPr>
      <t>Double RICON® 140/30 A2</t>
    </r>
    <r>
      <rPr>
        <sz val="11"/>
        <rFont val="Calibri"/>
        <family val="2"/>
        <scheme val="minor"/>
      </rPr>
      <t xml:space="preserve">
PP : 3 vis TF 8x50, 16 vis TF 5x50
PS : 3 vis TF 8x80, 16 vis TF 5x80</t>
    </r>
  </si>
  <si>
    <r>
      <rPr>
        <b/>
        <sz val="11"/>
        <rFont val="Calibri"/>
        <family val="2"/>
        <scheme val="minor"/>
      </rPr>
      <t>Double RICON® 160/30 A2</t>
    </r>
    <r>
      <rPr>
        <sz val="11"/>
        <rFont val="Calibri"/>
        <family val="2"/>
        <scheme val="minor"/>
      </rPr>
      <t xml:space="preserve">
PP : 3 vis TF 8x50, 20 vis TF 5x50
PS : 3 vis TF 8x80, 20 vis TF 5x80</t>
    </r>
  </si>
  <si>
    <r>
      <rPr>
        <b/>
        <sz val="11"/>
        <rFont val="Calibri"/>
        <family val="2"/>
        <scheme val="minor"/>
      </rPr>
      <t>RICON® 70/20 A2</t>
    </r>
    <r>
      <rPr>
        <sz val="11"/>
        <rFont val="Calibri"/>
        <family val="2"/>
        <scheme val="minor"/>
      </rPr>
      <t xml:space="preserve">
PP : 3 vis TF 5x50
PS : 3 vis TF 5x80</t>
    </r>
  </si>
  <si>
    <r>
      <rPr>
        <b/>
        <sz val="11"/>
        <rFont val="Calibri"/>
        <family val="2"/>
        <scheme val="minor"/>
      </rPr>
      <t>RICON® 66/16 A2</t>
    </r>
    <r>
      <rPr>
        <sz val="11"/>
        <rFont val="Calibri"/>
        <family val="2"/>
        <scheme val="minor"/>
      </rPr>
      <t xml:space="preserve">
PP : 3 vis TF 5x50
PS : 3 vis TF 5x80</t>
    </r>
  </si>
  <si>
    <t>Eccentric glass loads up to 53 mm glass thickness</t>
  </si>
  <si>
    <t>Charges décentrées pour épaisseur de vitrage jusqu'à 53 mm</t>
  </si>
  <si>
    <t xml:space="preserve">Valeurs en sens perpendiculaire </t>
  </si>
  <si>
    <t>Bild 2: Doppel RICON® Pfosten-Riegel Anschluss</t>
  </si>
  <si>
    <t>Bild 3: Pfosten-Riegel-Anschluss mit Verstärkungsplatte (VP)</t>
  </si>
  <si>
    <t>Figure 1: RICON® post-beam-connection</t>
  </si>
  <si>
    <t>Figure 2: Double RICON® post-beam-connection</t>
  </si>
  <si>
    <t>Figure 3: Post-beam-connection with reinforcing plate (RP)</t>
  </si>
  <si>
    <t xml:space="preserve">Design values F4,Rd [kN] for </t>
  </si>
  <si>
    <t>Belastungswerte F4,Rd [kN] für</t>
  </si>
  <si>
    <t xml:space="preserve">sans VP </t>
  </si>
  <si>
    <t>avec VP (renfort)</t>
  </si>
  <si>
    <t>Total glass load per beam [kg]</t>
  </si>
  <si>
    <t>Charge de vitrage [kg]</t>
  </si>
  <si>
    <r>
      <t>F</t>
    </r>
    <r>
      <rPr>
        <vertAlign val="subscript"/>
        <sz val="11"/>
        <color theme="1"/>
        <rFont val="Calibri"/>
        <family val="2"/>
        <scheme val="minor"/>
      </rPr>
      <t>4,Rk,eccentric</t>
    </r>
  </si>
  <si>
    <r>
      <t>F</t>
    </r>
    <r>
      <rPr>
        <vertAlign val="subscript"/>
        <sz val="11"/>
        <color theme="1"/>
        <rFont val="Calibri"/>
        <family val="2"/>
        <scheme val="minor"/>
      </rPr>
      <t>4,Rk,décent.</t>
    </r>
  </si>
  <si>
    <r>
      <t>Calculation of F</t>
    </r>
    <r>
      <rPr>
        <vertAlign val="subscript"/>
        <sz val="11"/>
        <color theme="1"/>
        <rFont val="Calibri"/>
        <family val="2"/>
        <scheme val="minor"/>
      </rPr>
      <t>4,Rd</t>
    </r>
    <r>
      <rPr>
        <sz val="11"/>
        <color theme="1"/>
        <rFont val="Calibri"/>
        <family val="2"/>
        <scheme val="minor"/>
      </rPr>
      <t xml:space="preserve"> for eccentric load for glass thickness t </t>
    </r>
    <r>
      <rPr>
        <sz val="11"/>
        <color theme="1"/>
        <rFont val="Calibri"/>
        <family val="2"/>
      </rPr>
      <t>≤ 53 mm</t>
    </r>
  </si>
  <si>
    <t>BauBuche ist nicht für NKL 3 zugelassen !</t>
  </si>
  <si>
    <t>RICON® Normalstahl:</t>
  </si>
  <si>
    <r>
      <t>Figure 1:</t>
    </r>
    <r>
      <rPr>
        <sz val="11"/>
        <rFont val="Calibri"/>
        <family val="2"/>
        <scheme val="minor"/>
      </rPr>
      <t xml:space="preserve"> GIGANT single connection</t>
    </r>
  </si>
  <si>
    <r>
      <rPr>
        <b/>
        <sz val="11"/>
        <rFont val="Calibri"/>
        <family val="2"/>
        <scheme val="minor"/>
      </rPr>
      <t>GIGANT 120/40 ST</t>
    </r>
    <r>
      <rPr>
        <sz val="11"/>
        <rFont val="Calibri"/>
        <family val="2"/>
        <scheme val="minor"/>
      </rPr>
      <t xml:space="preserve">
H: 3xCS10x80
J: 3xCS10x120</t>
    </r>
  </si>
  <si>
    <r>
      <rPr>
        <b/>
        <sz val="11"/>
        <rFont val="Calibri"/>
        <family val="2"/>
        <scheme val="minor"/>
      </rPr>
      <t>GIGANT 150/40 ST</t>
    </r>
    <r>
      <rPr>
        <sz val="11"/>
        <rFont val="Calibri"/>
        <family val="2"/>
        <scheme val="minor"/>
      </rPr>
      <t xml:space="preserve">
without clip lock
H: 4xCS10x80
J: 4xCS10x120</t>
    </r>
  </si>
  <si>
    <r>
      <rPr>
        <b/>
        <sz val="11"/>
        <rFont val="Calibri"/>
        <family val="2"/>
        <scheme val="minor"/>
      </rPr>
      <t>GIGANT 150/40 Max</t>
    </r>
    <r>
      <rPr>
        <sz val="11"/>
        <rFont val="Calibri"/>
        <family val="2"/>
        <scheme val="minor"/>
      </rPr>
      <t xml:space="preserve">
without clip lock
H: 4xCS10x80
J: </t>
    </r>
    <r>
      <rPr>
        <b/>
        <sz val="11"/>
        <rFont val="Calibri"/>
        <family val="2"/>
        <scheme val="minor"/>
      </rPr>
      <t>4xCS10x200</t>
    </r>
  </si>
  <si>
    <r>
      <rPr>
        <b/>
        <sz val="11"/>
        <rFont val="Calibri"/>
        <family val="2"/>
        <scheme val="minor"/>
      </rPr>
      <t>GIGANT 150/40 ST</t>
    </r>
    <r>
      <rPr>
        <sz val="11"/>
        <rFont val="Calibri"/>
        <family val="2"/>
        <scheme val="minor"/>
      </rPr>
      <t xml:space="preserve">
with clip lock
H: 4xCS10x80
J: 4xCS10x120</t>
    </r>
  </si>
  <si>
    <r>
      <rPr>
        <b/>
        <sz val="11"/>
        <rFont val="Calibri"/>
        <family val="2"/>
        <scheme val="minor"/>
      </rPr>
      <t>GIGANT 180/40 ST</t>
    </r>
    <r>
      <rPr>
        <sz val="11"/>
        <rFont val="Calibri"/>
        <family val="2"/>
        <scheme val="minor"/>
      </rPr>
      <t xml:space="preserve">
without clip lock
H: 6xCS10x80
J: 6xCS10x120</t>
    </r>
  </si>
  <si>
    <r>
      <rPr>
        <b/>
        <sz val="11"/>
        <rFont val="Calibri"/>
        <family val="2"/>
        <scheme val="minor"/>
      </rPr>
      <t>GIGANT 180/40 Max</t>
    </r>
    <r>
      <rPr>
        <sz val="11"/>
        <rFont val="Calibri"/>
        <family val="2"/>
        <scheme val="minor"/>
      </rPr>
      <t xml:space="preserve">
without clip lock
H: 6xCS10x80
J: </t>
    </r>
    <r>
      <rPr>
        <b/>
        <sz val="11"/>
        <rFont val="Calibri"/>
        <family val="2"/>
        <scheme val="minor"/>
      </rPr>
      <t>6xCS10x200</t>
    </r>
  </si>
  <si>
    <r>
      <rPr>
        <b/>
        <sz val="11"/>
        <rFont val="Calibri"/>
        <family val="2"/>
        <scheme val="minor"/>
      </rPr>
      <t>GIGANT 180/40 ST</t>
    </r>
    <r>
      <rPr>
        <sz val="11"/>
        <rFont val="Calibri"/>
        <family val="2"/>
        <scheme val="minor"/>
      </rPr>
      <t xml:space="preserve">
with clip lock
H: 6xCS10x80
J: 5xCS10x120</t>
    </r>
  </si>
  <si>
    <t>RICON Tabelle</t>
  </si>
  <si>
    <t>Gigant Tabelle</t>
  </si>
  <si>
    <t>Ricon Tabelle</t>
  </si>
  <si>
    <t>Bild 1: RICON® S60 EK Einzelanschluss</t>
  </si>
  <si>
    <t>RICON® S EK: (RICON® S with retaining screw collar bolt)</t>
  </si>
  <si>
    <t>RICON® S GK: (RICON® S with spring retaining screw collar bolt)</t>
  </si>
  <si>
    <t>Figure 1: RICON® S60 EK single connection</t>
  </si>
  <si>
    <r>
      <rPr>
        <b/>
        <sz val="11"/>
        <color theme="1"/>
        <rFont val="Calibri"/>
        <family val="2"/>
        <scheme val="minor"/>
      </rPr>
      <t>RICON® S 140/60 EK/GK Min</t>
    </r>
    <r>
      <rPr>
        <sz val="11"/>
        <color theme="1"/>
        <rFont val="Calibri"/>
        <family val="2"/>
        <scheme val="minor"/>
      </rPr>
      <t xml:space="preserve">
H: 7xCS8x80
J: 7xCS8x160</t>
    </r>
  </si>
  <si>
    <r>
      <rPr>
        <b/>
        <sz val="11"/>
        <color theme="1"/>
        <rFont val="Calibri"/>
        <family val="2"/>
        <scheme val="minor"/>
      </rPr>
      <t>RICON® S 140/60 EK/GK ST</t>
    </r>
    <r>
      <rPr>
        <sz val="11"/>
        <color theme="1"/>
        <rFont val="Calibri"/>
        <family val="2"/>
        <scheme val="minor"/>
      </rPr>
      <t xml:space="preserve">
H: 10xCS8x80
J: 10xCS8x160</t>
    </r>
  </si>
  <si>
    <r>
      <rPr>
        <b/>
        <sz val="11"/>
        <color theme="1"/>
        <rFont val="Calibri"/>
        <family val="2"/>
        <scheme val="minor"/>
      </rPr>
      <t>RICON® S 140/60 EK Max</t>
    </r>
    <r>
      <rPr>
        <sz val="11"/>
        <color theme="1"/>
        <rFont val="Calibri"/>
        <family val="2"/>
        <scheme val="minor"/>
      </rPr>
      <t xml:space="preserve">
H: 10xCS8x80
J: 10xCS8x240</t>
    </r>
  </si>
  <si>
    <r>
      <rPr>
        <b/>
        <sz val="11"/>
        <color theme="1"/>
        <rFont val="Calibri"/>
        <family val="2"/>
        <scheme val="minor"/>
      </rPr>
      <t>RICON® S 200/60 EK/GK Min</t>
    </r>
    <r>
      <rPr>
        <sz val="11"/>
        <color theme="1"/>
        <rFont val="Calibri"/>
        <family val="2"/>
        <scheme val="minor"/>
      </rPr>
      <t xml:space="preserve">
H: 8xCS8x80
J: 8xCS8x160</t>
    </r>
  </si>
  <si>
    <r>
      <rPr>
        <b/>
        <sz val="11"/>
        <color theme="1"/>
        <rFont val="Calibri"/>
        <family val="2"/>
        <scheme val="minor"/>
      </rPr>
      <t>RICON® S 200/60 EK/GK ST</t>
    </r>
    <r>
      <rPr>
        <sz val="11"/>
        <color theme="1"/>
        <rFont val="Calibri"/>
        <family val="2"/>
        <scheme val="minor"/>
      </rPr>
      <t xml:space="preserve">
H: 16xCS8x80
J: 16xCS8x160</t>
    </r>
  </si>
  <si>
    <r>
      <rPr>
        <b/>
        <sz val="11"/>
        <color theme="1"/>
        <rFont val="Calibri"/>
        <family val="2"/>
        <scheme val="minor"/>
      </rPr>
      <t>RICON®S 200/60 EK/GK Max</t>
    </r>
    <r>
      <rPr>
        <sz val="11"/>
        <color theme="1"/>
        <rFont val="Calibri"/>
        <family val="2"/>
        <scheme val="minor"/>
      </rPr>
      <t xml:space="preserve">
H: 16xCS8x80
J: 16xCS8x240</t>
    </r>
  </si>
  <si>
    <r>
      <rPr>
        <b/>
        <sz val="11"/>
        <color theme="1"/>
        <rFont val="Calibri"/>
        <family val="2"/>
        <scheme val="minor"/>
      </rPr>
      <t>RICON® S 200/80 EK/GK Min</t>
    </r>
    <r>
      <rPr>
        <sz val="11"/>
        <color theme="1"/>
        <rFont val="Calibri"/>
        <family val="2"/>
        <scheme val="minor"/>
      </rPr>
      <t xml:space="preserve">
H: 8xCS10x100
J: 8xCS10x200</t>
    </r>
  </si>
  <si>
    <r>
      <rPr>
        <b/>
        <sz val="11"/>
        <color theme="1"/>
        <rFont val="Calibri"/>
        <family val="2"/>
        <scheme val="minor"/>
      </rPr>
      <t>RICON® S 200/80 EK/GK ST</t>
    </r>
    <r>
      <rPr>
        <sz val="11"/>
        <color theme="1"/>
        <rFont val="Calibri"/>
        <family val="2"/>
        <scheme val="minor"/>
      </rPr>
      <t xml:space="preserve">
H: 16xCS10x100
J: 16xCS10x200</t>
    </r>
  </si>
  <si>
    <r>
      <rPr>
        <b/>
        <sz val="11"/>
        <color theme="1"/>
        <rFont val="Calibri"/>
        <family val="2"/>
        <scheme val="minor"/>
      </rPr>
      <t>RICON® S 290/80 EK/GK Min</t>
    </r>
    <r>
      <rPr>
        <sz val="11"/>
        <color theme="1"/>
        <rFont val="Calibri"/>
        <family val="2"/>
        <scheme val="minor"/>
      </rPr>
      <t xml:space="preserve">
H: 8xCS10x100
J: 8xCS10x200</t>
    </r>
  </si>
  <si>
    <r>
      <rPr>
        <b/>
        <sz val="11"/>
        <color theme="1"/>
        <rFont val="Calibri"/>
        <family val="2"/>
        <scheme val="minor"/>
      </rPr>
      <t>RICON® S 290/80 EK/GK ST</t>
    </r>
    <r>
      <rPr>
        <sz val="11"/>
        <color theme="1"/>
        <rFont val="Calibri"/>
        <family val="2"/>
        <scheme val="minor"/>
      </rPr>
      <t xml:space="preserve">
H: 20xCS10x100
J: 20xCS10x200</t>
    </r>
  </si>
  <si>
    <t>RICON®S EK : (avec insert et accroche réglable)</t>
  </si>
  <si>
    <t>RICON® S GK : (avec goujons d’accroche à ressort)</t>
  </si>
  <si>
    <r>
      <rPr>
        <b/>
        <sz val="11"/>
        <color theme="1"/>
        <rFont val="Calibri"/>
        <family val="2"/>
        <scheme val="minor"/>
      </rPr>
      <t>RICON® S 140/60 EK/GK Min</t>
    </r>
    <r>
      <rPr>
        <sz val="11"/>
        <color theme="1"/>
        <rFont val="Calibri"/>
        <family val="2"/>
        <scheme val="minor"/>
      </rPr>
      <t xml:space="preserve">
PP : 7 vis TF 8x80
PS : 7 vis TF 8x160</t>
    </r>
  </si>
  <si>
    <r>
      <rPr>
        <b/>
        <sz val="11"/>
        <color theme="1"/>
        <rFont val="Calibri"/>
        <family val="2"/>
        <scheme val="minor"/>
      </rPr>
      <t>RICON® S 140/60 EK/GK ST</t>
    </r>
    <r>
      <rPr>
        <sz val="11"/>
        <color theme="1"/>
        <rFont val="Calibri"/>
        <family val="2"/>
        <scheme val="minor"/>
      </rPr>
      <t xml:space="preserve">
PP : 10 vis TF 8x80
PS : 10 vis TF 8x160</t>
    </r>
  </si>
  <si>
    <r>
      <rPr>
        <b/>
        <sz val="11"/>
        <color theme="1"/>
        <rFont val="Calibri"/>
        <family val="2"/>
        <scheme val="minor"/>
      </rPr>
      <t>RICON® S 200/60 EK/GK Min</t>
    </r>
    <r>
      <rPr>
        <sz val="11"/>
        <color theme="1"/>
        <rFont val="Calibri"/>
        <family val="2"/>
        <scheme val="minor"/>
      </rPr>
      <t xml:space="preserve">
PP : 8 vis TF 8x80
PS : 8 vis TF 8x160</t>
    </r>
  </si>
  <si>
    <r>
      <rPr>
        <b/>
        <sz val="11"/>
        <color theme="1"/>
        <rFont val="Calibri"/>
        <family val="2"/>
        <scheme val="minor"/>
      </rPr>
      <t>RICON® S 200/60 EK/GK ST</t>
    </r>
    <r>
      <rPr>
        <sz val="11"/>
        <color theme="1"/>
        <rFont val="Calibri"/>
        <family val="2"/>
        <scheme val="minor"/>
      </rPr>
      <t xml:space="preserve">
PP : 16 vis TF 8x80
PS : 16 vis TF 8x160</t>
    </r>
  </si>
  <si>
    <r>
      <rPr>
        <b/>
        <sz val="11"/>
        <color theme="1"/>
        <rFont val="Calibri"/>
        <family val="2"/>
        <scheme val="minor"/>
      </rPr>
      <t>RICON® S 200/60 EK/GK Max</t>
    </r>
    <r>
      <rPr>
        <sz val="11"/>
        <color theme="1"/>
        <rFont val="Calibri"/>
        <family val="2"/>
        <scheme val="minor"/>
      </rPr>
      <t xml:space="preserve">
PP : 16 vis TF 8x80
PS : 16 vis TF 8x</t>
    </r>
    <r>
      <rPr>
        <b/>
        <sz val="11"/>
        <color theme="1"/>
        <rFont val="Calibri"/>
        <family val="2"/>
        <scheme val="minor"/>
      </rPr>
      <t>240</t>
    </r>
  </si>
  <si>
    <r>
      <rPr>
        <b/>
        <sz val="11"/>
        <color theme="1"/>
        <rFont val="Calibri"/>
        <family val="2"/>
        <scheme val="minor"/>
      </rPr>
      <t>RICON® S 200/80 EK/GK Min</t>
    </r>
    <r>
      <rPr>
        <sz val="11"/>
        <color theme="1"/>
        <rFont val="Calibri"/>
        <family val="2"/>
        <scheme val="minor"/>
      </rPr>
      <t xml:space="preserve">
PP : 8 vis TF 10x100
PS : 8 vis TF 10x200</t>
    </r>
  </si>
  <si>
    <r>
      <rPr>
        <b/>
        <sz val="11"/>
        <color theme="1"/>
        <rFont val="Calibri"/>
        <family val="2"/>
        <scheme val="minor"/>
      </rPr>
      <t xml:space="preserve">RICON® S 200/80 EK/GK ST </t>
    </r>
    <r>
      <rPr>
        <sz val="11"/>
        <color theme="1"/>
        <rFont val="Calibri"/>
        <family val="2"/>
        <scheme val="minor"/>
      </rPr>
      <t xml:space="preserve">
PP : 16 vis TF 10x100
PS : 16 vis TF 10x200</t>
    </r>
  </si>
  <si>
    <r>
      <rPr>
        <b/>
        <sz val="11"/>
        <color theme="1"/>
        <rFont val="Calibri"/>
        <family val="2"/>
        <scheme val="minor"/>
      </rPr>
      <t>RICON® S 290/80 EK/GK Min</t>
    </r>
    <r>
      <rPr>
        <sz val="11"/>
        <color theme="1"/>
        <rFont val="Calibri"/>
        <family val="2"/>
        <scheme val="minor"/>
      </rPr>
      <t xml:space="preserve"> 
PP : 8 vis TF 10x100
PS : 8 vis TF 10x200</t>
    </r>
  </si>
  <si>
    <r>
      <rPr>
        <b/>
        <sz val="11"/>
        <color theme="1"/>
        <rFont val="Calibri"/>
        <family val="2"/>
        <scheme val="minor"/>
      </rPr>
      <t>RICON® S 290/80 EK/GK ST</t>
    </r>
    <r>
      <rPr>
        <sz val="11"/>
        <color theme="1"/>
        <rFont val="Calibri"/>
        <family val="2"/>
        <scheme val="minor"/>
      </rPr>
      <t xml:space="preserve"> 
PP : 20 vis TF 10x100
PS : 20 vis TF 10x200</t>
    </r>
  </si>
  <si>
    <t>RICON S Tabelle</t>
  </si>
  <si>
    <t>Ricon S Tabelle</t>
  </si>
  <si>
    <t>Bild 2: RICON® S80 VK Einzelanschluss</t>
  </si>
  <si>
    <t>RICON® S VK: (RICON® S with screwed collar bolt)</t>
  </si>
  <si>
    <t>Figure 1: RICON® S60 VK single connection</t>
  </si>
  <si>
    <t>Figure 2: RICON® S80 VK single connection</t>
  </si>
  <si>
    <t>RICON®S VK : (avec douille d’accroche à visser)</t>
  </si>
  <si>
    <r>
      <rPr>
        <b/>
        <sz val="11"/>
        <color theme="1"/>
        <rFont val="Calibri"/>
        <family val="2"/>
        <scheme val="minor"/>
      </rPr>
      <t>RICON® S 140/60 VK ST</t>
    </r>
    <r>
      <rPr>
        <sz val="11"/>
        <color theme="1"/>
        <rFont val="Calibri"/>
        <family val="2"/>
        <scheme val="minor"/>
      </rPr>
      <t xml:space="preserve">
H: 8x CS 8x80
J: 8x CS 8x160</t>
    </r>
  </si>
  <si>
    <r>
      <rPr>
        <b/>
        <sz val="11"/>
        <color theme="1"/>
        <rFont val="Calibri"/>
        <family val="2"/>
        <scheme val="minor"/>
      </rPr>
      <t>RICON® S 140/60 VK</t>
    </r>
    <r>
      <rPr>
        <sz val="11"/>
        <color theme="1"/>
        <rFont val="Calibri"/>
        <family val="2"/>
        <scheme val="minor"/>
      </rPr>
      <t xml:space="preserve"> M</t>
    </r>
    <r>
      <rPr>
        <b/>
        <sz val="11"/>
        <color theme="1"/>
        <rFont val="Calibri"/>
        <family val="2"/>
        <scheme val="minor"/>
      </rPr>
      <t>ax</t>
    </r>
    <r>
      <rPr>
        <sz val="11"/>
        <color theme="1"/>
        <rFont val="Calibri"/>
        <family val="2"/>
        <scheme val="minor"/>
      </rPr>
      <t xml:space="preserve">
H: 8x CS 8x80
J: </t>
    </r>
    <r>
      <rPr>
        <b/>
        <sz val="11"/>
        <color theme="1"/>
        <rFont val="Calibri"/>
        <family val="2"/>
        <scheme val="minor"/>
      </rPr>
      <t>8x CS 8x240</t>
    </r>
  </si>
  <si>
    <r>
      <rPr>
        <b/>
        <sz val="11"/>
        <color theme="1"/>
        <rFont val="Calibri"/>
        <family val="2"/>
        <scheme val="minor"/>
      </rPr>
      <t>RICON® S 200/60 VK ST</t>
    </r>
    <r>
      <rPr>
        <sz val="11"/>
        <color theme="1"/>
        <rFont val="Calibri"/>
        <family val="2"/>
        <scheme val="minor"/>
      </rPr>
      <t xml:space="preserve">
H: 9x CS 8x80
J: 9x CS 8x160</t>
    </r>
  </si>
  <si>
    <r>
      <rPr>
        <b/>
        <sz val="11"/>
        <color theme="1"/>
        <rFont val="Calibri"/>
        <family val="2"/>
        <scheme val="minor"/>
      </rPr>
      <t>RICON S 200/60 VK Max</t>
    </r>
    <r>
      <rPr>
        <sz val="11"/>
        <color theme="1"/>
        <rFont val="Calibri"/>
        <family val="2"/>
        <scheme val="minor"/>
      </rPr>
      <t xml:space="preserve">
H: 9x CS 8x80
J: </t>
    </r>
    <r>
      <rPr>
        <b/>
        <sz val="11"/>
        <color theme="1"/>
        <rFont val="Calibri"/>
        <family val="2"/>
        <scheme val="minor"/>
      </rPr>
      <t>9x CS 8x240</t>
    </r>
  </si>
  <si>
    <r>
      <rPr>
        <b/>
        <sz val="11"/>
        <color theme="1"/>
        <rFont val="Calibri"/>
        <family val="2"/>
        <scheme val="minor"/>
      </rPr>
      <t>RICON® S 200/80 VK ST</t>
    </r>
    <r>
      <rPr>
        <sz val="11"/>
        <color theme="1"/>
        <rFont val="Calibri"/>
        <family val="2"/>
        <scheme val="minor"/>
      </rPr>
      <t xml:space="preserve">
H: 9x CS 10x100
J: 9x CS 10x200</t>
    </r>
  </si>
  <si>
    <r>
      <rPr>
        <b/>
        <sz val="11"/>
        <color theme="1"/>
        <rFont val="Calibri"/>
        <family val="2"/>
        <scheme val="minor"/>
      </rPr>
      <t>RICON® S 200/80 VK Max</t>
    </r>
    <r>
      <rPr>
        <sz val="11"/>
        <color theme="1"/>
        <rFont val="Calibri"/>
        <family val="2"/>
        <scheme val="minor"/>
      </rPr>
      <t xml:space="preserve">
H: 9x CS 10x100
J:</t>
    </r>
    <r>
      <rPr>
        <b/>
        <sz val="11"/>
        <color theme="1"/>
        <rFont val="Calibri"/>
        <family val="2"/>
        <scheme val="minor"/>
      </rPr>
      <t xml:space="preserve"> 9x CS 10x300</t>
    </r>
  </si>
  <si>
    <r>
      <rPr>
        <b/>
        <sz val="11"/>
        <color theme="1"/>
        <rFont val="Calibri"/>
        <family val="2"/>
        <scheme val="minor"/>
      </rPr>
      <t>RICON® S 290/80 VK ST</t>
    </r>
    <r>
      <rPr>
        <sz val="11"/>
        <color theme="1"/>
        <rFont val="Calibri"/>
        <family val="2"/>
        <scheme val="minor"/>
      </rPr>
      <t xml:space="preserve">
H: 9x CS 10x100
J: 9x CS 10x200</t>
    </r>
  </si>
  <si>
    <r>
      <rPr>
        <b/>
        <sz val="11"/>
        <color theme="1"/>
        <rFont val="Calibri"/>
        <family val="2"/>
        <scheme val="minor"/>
      </rPr>
      <t>RICON® S 290/80 VK Max</t>
    </r>
    <r>
      <rPr>
        <sz val="11"/>
        <color theme="1"/>
        <rFont val="Calibri"/>
        <family val="2"/>
        <scheme val="minor"/>
      </rPr>
      <t xml:space="preserve">
H: 9x CS 10x100
J: </t>
    </r>
    <r>
      <rPr>
        <b/>
        <sz val="11"/>
        <color theme="1"/>
        <rFont val="Calibri"/>
        <family val="2"/>
        <scheme val="minor"/>
      </rPr>
      <t>9x CS 10x300</t>
    </r>
  </si>
  <si>
    <t>Bild 1: RICON® S60 VS Einzelanschluss</t>
  </si>
  <si>
    <t>Bild 2: RICON® S 390x80 VS+ZP Einzelanschluss</t>
  </si>
  <si>
    <t>RICON® S VS: (RICON® S with welded collar bolt)</t>
  </si>
  <si>
    <t>Figure 1: RICON® S60 VS single connection</t>
  </si>
  <si>
    <t>Figure 2: RICON® S 390x80 VS+ZP single connection</t>
  </si>
  <si>
    <r>
      <rPr>
        <b/>
        <sz val="11"/>
        <color theme="1"/>
        <rFont val="Calibri"/>
        <family val="2"/>
        <scheme val="minor"/>
      </rPr>
      <t>RICON® S 140/60 VS Min</t>
    </r>
    <r>
      <rPr>
        <sz val="11"/>
        <color theme="1"/>
        <rFont val="Calibri"/>
        <family val="2"/>
        <scheme val="minor"/>
      </rPr>
      <t xml:space="preserve">
H: 7xCS8x80
J: 7xCS8x160</t>
    </r>
  </si>
  <si>
    <r>
      <rPr>
        <b/>
        <sz val="11"/>
        <color theme="1"/>
        <rFont val="Calibri"/>
        <family val="2"/>
        <scheme val="minor"/>
      </rPr>
      <t>RICON® S 140/60 VS ST</t>
    </r>
    <r>
      <rPr>
        <sz val="11"/>
        <color theme="1"/>
        <rFont val="Calibri"/>
        <family val="2"/>
        <scheme val="minor"/>
      </rPr>
      <t xml:space="preserve">
H: 10xCS8x80
J: 10xCS8x160</t>
    </r>
  </si>
  <si>
    <r>
      <rPr>
        <b/>
        <sz val="11"/>
        <color theme="1"/>
        <rFont val="Calibri"/>
        <family val="2"/>
        <scheme val="minor"/>
      </rPr>
      <t>RICON® S 140/60 VS Max</t>
    </r>
    <r>
      <rPr>
        <sz val="11"/>
        <color theme="1"/>
        <rFont val="Calibri"/>
        <family val="2"/>
        <scheme val="minor"/>
      </rPr>
      <t xml:space="preserve">
H: 10xCS8x80
J: 10xCS8x240</t>
    </r>
  </si>
  <si>
    <r>
      <rPr>
        <b/>
        <sz val="11"/>
        <color theme="1"/>
        <rFont val="Calibri"/>
        <family val="2"/>
        <scheme val="minor"/>
      </rPr>
      <t>RICON® S 200/60 VS Min</t>
    </r>
    <r>
      <rPr>
        <sz val="11"/>
        <color theme="1"/>
        <rFont val="Calibri"/>
        <family val="2"/>
        <scheme val="minor"/>
      </rPr>
      <t xml:space="preserve">
H: 8xCS8x80
J: 8xCS8x160</t>
    </r>
  </si>
  <si>
    <r>
      <rPr>
        <b/>
        <sz val="11"/>
        <color theme="1"/>
        <rFont val="Calibri"/>
        <family val="2"/>
        <scheme val="minor"/>
      </rPr>
      <t>RICON® S 200/60 VS ST</t>
    </r>
    <r>
      <rPr>
        <sz val="11"/>
        <color theme="1"/>
        <rFont val="Calibri"/>
        <family val="2"/>
        <scheme val="minor"/>
      </rPr>
      <t xml:space="preserve">
H: 16xCS8x80
J: 16xCS8x160</t>
    </r>
  </si>
  <si>
    <r>
      <rPr>
        <b/>
        <sz val="11"/>
        <color theme="1"/>
        <rFont val="Calibri"/>
        <family val="2"/>
        <scheme val="minor"/>
      </rPr>
      <t>RICON® S 200/60 VS Max</t>
    </r>
    <r>
      <rPr>
        <sz val="11"/>
        <color theme="1"/>
        <rFont val="Calibri"/>
        <family val="2"/>
        <scheme val="minor"/>
      </rPr>
      <t xml:space="preserve">
H: 16xCS8x80
J: 16xCS8x240</t>
    </r>
  </si>
  <si>
    <r>
      <rPr>
        <b/>
        <sz val="11"/>
        <color theme="1"/>
        <rFont val="Calibri"/>
        <family val="2"/>
        <scheme val="minor"/>
      </rPr>
      <t>RICON® S 200/80 VS Min</t>
    </r>
    <r>
      <rPr>
        <sz val="11"/>
        <color theme="1"/>
        <rFont val="Calibri"/>
        <family val="2"/>
        <scheme val="minor"/>
      </rPr>
      <t xml:space="preserve">
H: 8xCS10x100
J: 8xCS10x200</t>
    </r>
  </si>
  <si>
    <r>
      <rPr>
        <b/>
        <sz val="11"/>
        <color theme="1"/>
        <rFont val="Calibri"/>
        <family val="2"/>
        <scheme val="minor"/>
      </rPr>
      <t>RICON® S 200/80 VS ST</t>
    </r>
    <r>
      <rPr>
        <sz val="11"/>
        <color theme="1"/>
        <rFont val="Calibri"/>
        <family val="2"/>
        <scheme val="minor"/>
      </rPr>
      <t xml:space="preserve">
H: 16xCS10x100
J: 16xCS10x200</t>
    </r>
  </si>
  <si>
    <r>
      <rPr>
        <b/>
        <sz val="11"/>
        <color theme="1"/>
        <rFont val="Calibri"/>
        <family val="2"/>
        <scheme val="minor"/>
      </rPr>
      <t>RICON® S 200/80 VS Max</t>
    </r>
    <r>
      <rPr>
        <sz val="11"/>
        <color theme="1"/>
        <rFont val="Calibri"/>
        <family val="2"/>
        <scheme val="minor"/>
      </rPr>
      <t xml:space="preserve">
H: 16xCS10x100
J: 16xCS10x300</t>
    </r>
  </si>
  <si>
    <r>
      <rPr>
        <b/>
        <sz val="11"/>
        <color theme="1"/>
        <rFont val="Calibri"/>
        <family val="2"/>
        <scheme val="minor"/>
      </rPr>
      <t>RICON® S 290/80 VS Min</t>
    </r>
    <r>
      <rPr>
        <sz val="11"/>
        <color theme="1"/>
        <rFont val="Calibri"/>
        <family val="2"/>
        <scheme val="minor"/>
      </rPr>
      <t xml:space="preserve">
H: 8xCS10x100
J: 8xCS10x200</t>
    </r>
  </si>
  <si>
    <r>
      <rPr>
        <b/>
        <sz val="11"/>
        <color theme="1"/>
        <rFont val="Calibri"/>
        <family val="2"/>
        <scheme val="minor"/>
      </rPr>
      <t>RICON® S 290/80 VS ST</t>
    </r>
    <r>
      <rPr>
        <sz val="11"/>
        <color theme="1"/>
        <rFont val="Calibri"/>
        <family val="2"/>
        <scheme val="minor"/>
      </rPr>
      <t xml:space="preserve">
H: 25xCS10x100
J: 25xCS10x200</t>
    </r>
  </si>
  <si>
    <r>
      <rPr>
        <b/>
        <sz val="11"/>
        <color theme="1"/>
        <rFont val="Calibri"/>
        <family val="2"/>
        <scheme val="minor"/>
      </rPr>
      <t>RICON® S 290/80 VS Max</t>
    </r>
    <r>
      <rPr>
        <sz val="11"/>
        <color theme="1"/>
        <rFont val="Calibri"/>
        <family val="2"/>
        <scheme val="minor"/>
      </rPr>
      <t xml:space="preserve">
H: 25xCS10x100
J: 25xCS10x300</t>
    </r>
  </si>
  <si>
    <r>
      <rPr>
        <b/>
        <sz val="11"/>
        <color theme="1"/>
        <rFont val="Calibri"/>
        <family val="2"/>
        <scheme val="minor"/>
      </rPr>
      <t>RICON® S 390/80 VS + ZP Min</t>
    </r>
    <r>
      <rPr>
        <sz val="11"/>
        <color theme="1"/>
        <rFont val="Calibri"/>
        <family val="2"/>
        <scheme val="minor"/>
      </rPr>
      <t xml:space="preserve">
H: 28xCS10x100 
J: 28xCS10x200</t>
    </r>
  </si>
  <si>
    <r>
      <rPr>
        <b/>
        <sz val="11"/>
        <color theme="1"/>
        <rFont val="Calibri"/>
        <family val="2"/>
        <scheme val="minor"/>
      </rPr>
      <t>RICON® S 390/80 VS + ZP ST</t>
    </r>
    <r>
      <rPr>
        <sz val="11"/>
        <color theme="1"/>
        <rFont val="Calibri"/>
        <family val="2"/>
        <scheme val="minor"/>
      </rPr>
      <t xml:space="preserve">
H: 28xCS10x100 + 2xCS10x400 
J: 28xCS10x200 + 2xCS10x450</t>
    </r>
  </si>
  <si>
    <r>
      <rPr>
        <b/>
        <sz val="11"/>
        <color theme="1"/>
        <rFont val="Calibri"/>
        <family val="2"/>
        <scheme val="minor"/>
      </rPr>
      <t>RICON® S 390/80 VS + ZP Max</t>
    </r>
    <r>
      <rPr>
        <sz val="11"/>
        <color theme="1"/>
        <rFont val="Calibri"/>
        <family val="2"/>
        <scheme val="minor"/>
      </rPr>
      <t xml:space="preserve">
H: 28xCS10x100 + 2xCS10x400 
J: 28xCS10x300 + 2xCS10x450</t>
    </r>
  </si>
  <si>
    <r>
      <t>* Alternative dimension of the cross-section in relation to the same shear force with F</t>
    </r>
    <r>
      <rPr>
        <vertAlign val="subscript"/>
        <sz val="11"/>
        <color theme="1"/>
        <rFont val="Calibri"/>
        <family val="2"/>
        <scheme val="minor"/>
      </rPr>
      <t>2,Rk</t>
    </r>
    <r>
      <rPr>
        <sz val="11"/>
        <color theme="1"/>
        <rFont val="Calibri"/>
        <family val="2"/>
        <scheme val="minor"/>
      </rPr>
      <t xml:space="preserve"> from table.</t>
    </r>
  </si>
  <si>
    <t>e.g. RICON S 140x60 VS Max:</t>
  </si>
  <si>
    <t>Minimum cross-section: 100x260 A= 260cm², shear stress: = 1.5 * 40.2 / 260 = 0.23 kN/cm²</t>
  </si>
  <si>
    <t>Alternative cross-section: 120x220* A= 264 cm², shear stress: = 1.5 * 40.2 / 264 = 0.23 kN/cm²</t>
  </si>
  <si>
    <r>
      <t>The shear force of the joist is the same for both cross-sections. This shear force is adjusted to the F</t>
    </r>
    <r>
      <rPr>
        <vertAlign val="subscript"/>
        <sz val="11"/>
        <color theme="1"/>
        <rFont val="Calibri"/>
        <family val="2"/>
        <scheme val="minor"/>
      </rPr>
      <t>2,Rk</t>
    </r>
    <r>
      <rPr>
        <sz val="11"/>
        <color theme="1"/>
        <rFont val="Calibri"/>
        <family val="2"/>
        <scheme val="minor"/>
      </rPr>
      <t xml:space="preserve"> = 40.2 kN (GL24h) load.</t>
    </r>
  </si>
  <si>
    <t>RICON® S VS : (avec accroche soudée)</t>
  </si>
  <si>
    <r>
      <rPr>
        <b/>
        <sz val="11"/>
        <color theme="1"/>
        <rFont val="Calibri"/>
        <family val="2"/>
        <scheme val="minor"/>
      </rPr>
      <t>RICON® S 140/60 VS Min</t>
    </r>
    <r>
      <rPr>
        <sz val="11"/>
        <color theme="1"/>
        <rFont val="Calibri"/>
        <family val="2"/>
        <scheme val="minor"/>
      </rPr>
      <t xml:space="preserve">
PP : 7 vis TF 8x80
PS : 7 vis TF 8x160</t>
    </r>
  </si>
  <si>
    <r>
      <rPr>
        <b/>
        <sz val="11"/>
        <color theme="1"/>
        <rFont val="Calibri"/>
        <family val="2"/>
        <scheme val="minor"/>
      </rPr>
      <t>RICON® S 140/60 VS  ST</t>
    </r>
    <r>
      <rPr>
        <sz val="11"/>
        <color theme="1"/>
        <rFont val="Calibri"/>
        <family val="2"/>
        <scheme val="minor"/>
      </rPr>
      <t xml:space="preserve">
PP : 10 vis TF 8x80
PS : 10 vis TF 8x160</t>
    </r>
  </si>
  <si>
    <r>
      <rPr>
        <b/>
        <sz val="11"/>
        <color theme="1"/>
        <rFont val="Calibri"/>
        <family val="2"/>
        <scheme val="minor"/>
      </rPr>
      <t>RICON® S 200/60 VS  Min</t>
    </r>
    <r>
      <rPr>
        <sz val="11"/>
        <color theme="1"/>
        <rFont val="Calibri"/>
        <family val="2"/>
        <scheme val="minor"/>
      </rPr>
      <t xml:space="preserve">
PP : 8 vis TF 8x80
PS : 8 vis TF 8x160</t>
    </r>
  </si>
  <si>
    <r>
      <rPr>
        <b/>
        <sz val="11"/>
        <color theme="1"/>
        <rFont val="Calibri"/>
        <family val="2"/>
        <scheme val="minor"/>
      </rPr>
      <t>RICON® S 200/60 VS  ST</t>
    </r>
    <r>
      <rPr>
        <sz val="11"/>
        <color theme="1"/>
        <rFont val="Calibri"/>
        <family val="2"/>
        <scheme val="minor"/>
      </rPr>
      <t xml:space="preserve">
PP : 16 vis TF 8x80
PS : 16 vis TF 8x160</t>
    </r>
  </si>
  <si>
    <r>
      <rPr>
        <b/>
        <sz val="11"/>
        <color theme="1"/>
        <rFont val="Calibri"/>
        <family val="2"/>
        <scheme val="minor"/>
      </rPr>
      <t>RICON® S 200/80 VS  Min</t>
    </r>
    <r>
      <rPr>
        <sz val="11"/>
        <color theme="1"/>
        <rFont val="Calibri"/>
        <family val="2"/>
        <scheme val="minor"/>
      </rPr>
      <t xml:space="preserve">
PP : 8 vis TF 10x100
PS : 8 vis TF 10x200</t>
    </r>
  </si>
  <si>
    <r>
      <rPr>
        <b/>
        <sz val="11"/>
        <color theme="1"/>
        <rFont val="Calibri"/>
        <family val="2"/>
        <scheme val="minor"/>
      </rPr>
      <t>RICON® S 200/80 VS  ST</t>
    </r>
    <r>
      <rPr>
        <sz val="11"/>
        <color theme="1"/>
        <rFont val="Calibri"/>
        <family val="2"/>
        <scheme val="minor"/>
      </rPr>
      <t xml:space="preserve">
PP : 16 vis TF 10x100
PS : 16 vis TF 10x200</t>
    </r>
  </si>
  <si>
    <r>
      <rPr>
        <b/>
        <sz val="11"/>
        <color theme="1"/>
        <rFont val="Calibri"/>
        <family val="2"/>
        <scheme val="minor"/>
      </rPr>
      <t>RICON® S 290/80 VS  Min</t>
    </r>
    <r>
      <rPr>
        <sz val="11"/>
        <color theme="1"/>
        <rFont val="Calibri"/>
        <family val="2"/>
        <scheme val="minor"/>
      </rPr>
      <t xml:space="preserve">
PP : 8 vis TF 10x100
PS : 8 vis TF 10x200</t>
    </r>
  </si>
  <si>
    <r>
      <rPr>
        <b/>
        <sz val="11"/>
        <color theme="1"/>
        <rFont val="Calibri"/>
        <family val="2"/>
        <scheme val="minor"/>
      </rPr>
      <t>RICON® S 290/80 VS  ST</t>
    </r>
    <r>
      <rPr>
        <sz val="11"/>
        <color theme="1"/>
        <rFont val="Calibri"/>
        <family val="2"/>
        <scheme val="minor"/>
      </rPr>
      <t xml:space="preserve">
PP : 25 vis TF 10x100
PS : 25 vis TF 10x200</t>
    </r>
  </si>
  <si>
    <r>
      <rPr>
        <b/>
        <sz val="11"/>
        <color theme="1"/>
        <rFont val="Calibri"/>
        <family val="2"/>
        <scheme val="minor"/>
      </rPr>
      <t>RICON® S 390/80 VS + ZP  Min</t>
    </r>
    <r>
      <rPr>
        <sz val="11"/>
        <color theme="1"/>
        <rFont val="Calibri"/>
        <family val="2"/>
        <scheme val="minor"/>
      </rPr>
      <t xml:space="preserve">
PP : 28 vis TF 10x100 
PS : 28 vis TF 10x200 </t>
    </r>
  </si>
  <si>
    <r>
      <rPr>
        <b/>
        <sz val="11"/>
        <color theme="1"/>
        <rFont val="Calibri"/>
        <family val="2"/>
        <scheme val="minor"/>
      </rPr>
      <t>RICON® S 390/80 VS + ZP  ST</t>
    </r>
    <r>
      <rPr>
        <sz val="11"/>
        <color theme="1"/>
        <rFont val="Calibri"/>
        <family val="2"/>
        <scheme val="minor"/>
      </rPr>
      <t xml:space="preserve">
PP : 28 vis TF 10x100 + 2 vis TF 10x400 
PS : 28 vis TF 10x200 + 2 vis TF 10x450</t>
    </r>
  </si>
  <si>
    <r>
      <t>* Section bois alternative en fonction du même effort tranchant avec F</t>
    </r>
    <r>
      <rPr>
        <vertAlign val="subscript"/>
        <sz val="11"/>
        <color theme="1"/>
        <rFont val="Calibri"/>
        <family val="2"/>
        <scheme val="minor"/>
      </rPr>
      <t>2,Rk</t>
    </r>
    <r>
      <rPr>
        <sz val="11"/>
        <color theme="1"/>
        <rFont val="Calibri"/>
        <family val="2"/>
        <scheme val="minor"/>
      </rPr>
      <t xml:space="preserve"> du tableau.</t>
    </r>
  </si>
  <si>
    <t>ex. RICON S 140x60 VS Max :</t>
  </si>
  <si>
    <r>
      <t xml:space="preserve">Section bois minimum : 100x260  A= 260 cm²,  contraintes de cisaillement : </t>
    </r>
    <r>
      <rPr>
        <sz val="11"/>
        <color theme="1"/>
        <rFont val="Symbol"/>
        <family val="1"/>
        <charset val="2"/>
      </rPr>
      <t>t</t>
    </r>
    <r>
      <rPr>
        <sz val="11"/>
        <color theme="1"/>
        <rFont val="Calibri"/>
        <family val="2"/>
        <scheme val="minor"/>
      </rPr>
      <t xml:space="preserve"> = 1,5 * 40,2 / 260 = 0,23 kN/cm²</t>
    </r>
  </si>
  <si>
    <r>
      <t xml:space="preserve">Section bois alternative : 120x220*  A= 264 cm², contraintes de cisaillement : </t>
    </r>
    <r>
      <rPr>
        <sz val="11"/>
        <color theme="1"/>
        <rFont val="Symbol"/>
        <family val="1"/>
        <charset val="2"/>
      </rPr>
      <t>t</t>
    </r>
    <r>
      <rPr>
        <sz val="11"/>
        <color theme="1"/>
        <rFont val="Calibri"/>
        <family val="2"/>
        <scheme val="minor"/>
      </rPr>
      <t xml:space="preserve"> = 1,5 * 40,2 / 264 = 0,23 kN/cm²</t>
    </r>
  </si>
  <si>
    <r>
      <t>L’effort tranchant de la poutre est la même pour les deux sections. Elles sont adaptées à la charge F</t>
    </r>
    <r>
      <rPr>
        <vertAlign val="subscript"/>
        <sz val="11"/>
        <color theme="1"/>
        <rFont val="Calibri"/>
        <family val="2"/>
        <scheme val="minor"/>
      </rPr>
      <t>2,Rk</t>
    </r>
    <r>
      <rPr>
        <sz val="11"/>
        <color theme="1"/>
        <rFont val="Calibri"/>
        <family val="2"/>
        <scheme val="minor"/>
      </rPr>
      <t xml:space="preserve"> = 40,2 kNm (GL24h).</t>
    </r>
  </si>
  <si>
    <t xml:space="preserve">Belastungstabelle von KNAPP® RICON® Normalstahl nach ETA-10/0189 (Ausgabe 25/08/2022) </t>
  </si>
  <si>
    <t>Données de reprises de charges des connecteurs RICON®,  d'après l'ETA 10-0189 (Edition 25/08/2022)</t>
  </si>
  <si>
    <t>Belastungstabelle von KNAPP® GIGANT nach ETA-10/0189 (Ausgabe 25/08/2022)</t>
  </si>
  <si>
    <t>Données de reprises de charges des connecteurs GIGANT,  d'après l'ETA 10-0189 (Edition 25/08/2022)</t>
  </si>
  <si>
    <t>Belastungstabelle von KNAPP® RICON® S nach ETA-10/0189 (Ausgabe 25/08/2022)</t>
  </si>
  <si>
    <t>Données de reprises de charges des connecteurs RICON® S,  d'après l'ETA 10-0189 (Edition 25/08/2022)</t>
  </si>
  <si>
    <t xml:space="preserve">Belastungstabelle von KNAPP® RICON® Edelstahl nach ETA-10/0189 (Ausgabe 25/08/2022) </t>
  </si>
  <si>
    <r>
      <t>n</t>
    </r>
    <r>
      <rPr>
        <vertAlign val="subscript"/>
        <sz val="12"/>
        <rFont val="Myriad Pro Light"/>
        <family val="2"/>
      </rPr>
      <t>ges</t>
    </r>
  </si>
  <si>
    <r>
      <t>n</t>
    </r>
    <r>
      <rPr>
        <vertAlign val="subscript"/>
        <sz val="12"/>
        <rFont val="Myriad Pro Light"/>
        <family val="2"/>
      </rPr>
      <t xml:space="preserve">ef </t>
    </r>
    <r>
      <rPr>
        <sz val="12"/>
        <rFont val="Myriad Pro Light"/>
        <family val="2"/>
      </rPr>
      <t>= n</t>
    </r>
    <r>
      <rPr>
        <vertAlign val="subscript"/>
        <sz val="12"/>
        <rFont val="Myriad Pro Light"/>
        <family val="2"/>
      </rPr>
      <t>ges</t>
    </r>
    <r>
      <rPr>
        <vertAlign val="superscript"/>
        <sz val="12"/>
        <rFont val="Myriad Pro Light"/>
        <family val="2"/>
      </rPr>
      <t>0,9</t>
    </r>
  </si>
  <si>
    <t>% Anteile</t>
  </si>
  <si>
    <r>
      <t>n</t>
    </r>
    <r>
      <rPr>
        <vertAlign val="subscript"/>
        <sz val="12"/>
        <rFont val="Myriad Pro Light"/>
        <family val="2"/>
      </rPr>
      <t>ef</t>
    </r>
    <r>
      <rPr>
        <sz val="12"/>
        <rFont val="Myriad Pro Light"/>
        <family val="2"/>
      </rPr>
      <t xml:space="preserve"> aufgeteilt</t>
    </r>
  </si>
  <si>
    <r>
      <t>L</t>
    </r>
    <r>
      <rPr>
        <vertAlign val="subscript"/>
        <sz val="12"/>
        <rFont val="Myriad Pro Light"/>
        <family val="2"/>
      </rPr>
      <t>(J)</t>
    </r>
  </si>
  <si>
    <r>
      <t>F</t>
    </r>
    <r>
      <rPr>
        <vertAlign val="subscript"/>
        <sz val="11"/>
        <color indexed="8"/>
        <rFont val="Calibri"/>
        <family val="2"/>
      </rPr>
      <t>v,J,Rk</t>
    </r>
    <r>
      <rPr>
        <sz val="12"/>
        <rFont val="Myriad Pro Light"/>
        <family val="2"/>
      </rPr>
      <t xml:space="preserve"> </t>
    </r>
  </si>
  <si>
    <r>
      <rPr>
        <sz val="12"/>
        <rFont val="Symbol"/>
        <family val="1"/>
        <charset val="2"/>
      </rPr>
      <t>S</t>
    </r>
    <r>
      <rPr>
        <sz val="12"/>
        <rFont val="Myriad Pro Light"/>
        <family val="2"/>
      </rPr>
      <t xml:space="preserve"> F</t>
    </r>
    <r>
      <rPr>
        <vertAlign val="subscript"/>
        <sz val="12"/>
        <rFont val="Myriad Pro Light"/>
        <family val="2"/>
      </rPr>
      <t>v,J,Rk</t>
    </r>
  </si>
  <si>
    <r>
      <rPr>
        <sz val="12"/>
        <rFont val="Symbol"/>
        <family val="1"/>
        <charset val="2"/>
      </rPr>
      <t>S</t>
    </r>
    <r>
      <rPr>
        <sz val="12"/>
        <rFont val="Myriad Pro Light"/>
        <family val="2"/>
      </rPr>
      <t xml:space="preserve"> F</t>
    </r>
    <r>
      <rPr>
        <vertAlign val="subscript"/>
        <sz val="12"/>
        <rFont val="Myriad Pro Light"/>
        <family val="2"/>
      </rPr>
      <t>v,J,Rk,ges</t>
    </r>
  </si>
  <si>
    <r>
      <t>L</t>
    </r>
    <r>
      <rPr>
        <vertAlign val="subscript"/>
        <sz val="12"/>
        <rFont val="Myriad Pro Light"/>
        <family val="2"/>
      </rPr>
      <t>(H)</t>
    </r>
  </si>
  <si>
    <r>
      <t>F</t>
    </r>
    <r>
      <rPr>
        <vertAlign val="subscript"/>
        <sz val="11"/>
        <color indexed="8"/>
        <rFont val="Calibri"/>
        <family val="2"/>
      </rPr>
      <t>v,H,Rk</t>
    </r>
    <r>
      <rPr>
        <sz val="12"/>
        <rFont val="Myriad Pro Light"/>
        <family val="2"/>
      </rPr>
      <t xml:space="preserve"> </t>
    </r>
  </si>
  <si>
    <r>
      <rPr>
        <sz val="12"/>
        <rFont val="Symbol"/>
        <family val="1"/>
        <charset val="2"/>
      </rPr>
      <t>S</t>
    </r>
    <r>
      <rPr>
        <sz val="12"/>
        <rFont val="Myriad Pro Light"/>
        <family val="2"/>
      </rPr>
      <t xml:space="preserve"> F</t>
    </r>
    <r>
      <rPr>
        <vertAlign val="subscript"/>
        <sz val="12"/>
        <rFont val="Myriad Pro Light"/>
        <family val="2"/>
      </rPr>
      <t>v,H,Rk</t>
    </r>
  </si>
  <si>
    <r>
      <rPr>
        <sz val="12"/>
        <rFont val="Symbol"/>
        <family val="1"/>
        <charset val="2"/>
      </rPr>
      <t>S</t>
    </r>
    <r>
      <rPr>
        <sz val="12"/>
        <rFont val="Myriad Pro Light"/>
        <family val="2"/>
      </rPr>
      <t xml:space="preserve"> F</t>
    </r>
    <r>
      <rPr>
        <vertAlign val="subscript"/>
        <sz val="12"/>
        <rFont val="Myriad Pro Light"/>
        <family val="2"/>
      </rPr>
      <t>v,H,Rk,ges</t>
    </r>
  </si>
  <si>
    <t>Min. joist cross section [mm]</t>
  </si>
  <si>
    <t>1. Hauptträger</t>
  </si>
  <si>
    <t>2. Nebenträger</t>
  </si>
  <si>
    <t>3. RICON® Einzelanschluss</t>
  </si>
  <si>
    <t>4. Einzelanschluss mit Doppel RICON®</t>
  </si>
  <si>
    <t>5. RICON® Doppelanschluss mit Verbundmutter</t>
  </si>
  <si>
    <t>1. Header</t>
  </si>
  <si>
    <t>2. Joist</t>
  </si>
  <si>
    <t>3. Fixation bois sur bois RICON®</t>
  </si>
  <si>
    <t>4. Fixation bois sur bois RICON® superposé</t>
  </si>
  <si>
    <t>5. Fixation bois sur bois RICON® avec assemblage double</t>
  </si>
  <si>
    <t>Bild-Beschreibungen:</t>
  </si>
  <si>
    <t>6. Pfosten</t>
  </si>
  <si>
    <t>7. Riegel</t>
  </si>
  <si>
    <t>8. Doppel RICON®</t>
  </si>
  <si>
    <t>9. Verstärkungsplatte</t>
  </si>
  <si>
    <t>6. Post</t>
  </si>
  <si>
    <t>7. Beam</t>
  </si>
  <si>
    <t>8. Double RICON®</t>
  </si>
  <si>
    <t>9. Reinforcing plate</t>
  </si>
  <si>
    <t>6. Poteau</t>
  </si>
  <si>
    <t>7. Traverse</t>
  </si>
  <si>
    <t>9. Platine de renfort</t>
  </si>
  <si>
    <t>RICON® acier</t>
  </si>
  <si>
    <t>Image 1 : Assemblage RICON® simple (EA)</t>
  </si>
  <si>
    <t>Image 2 : Assemblage RICON® double superposés (2x EA)</t>
  </si>
  <si>
    <t>Image 3 : Assemblage RICON® double - face à face (DA)</t>
  </si>
  <si>
    <t>* RICON® double superposés :  </t>
  </si>
  <si>
    <t>2 RICON® placés l'un à la suite de l'autre, avec ou sans écart (image 2).</t>
  </si>
  <si>
    <t>**Sections minimales indiquées pour lesquelles le rapport a/HN &gt; 0,7 peut être respecté</t>
  </si>
  <si>
    <t>Si le rapport a/HN &lt; 0,7 =&gt; vérifier l'effort de traction transversale dans la poutre secondaire ou, toujours sur cette dernière, réaliser un renforcement de la section par vis de frettage.</t>
  </si>
  <si>
    <t xml:space="preserve">RICON® inox </t>
  </si>
  <si>
    <t>RICON 60/40 A2
PP : 1 vis TF 8x50, 2 vis TF 5x50
PS : 1 vis TF 8x80, 2 vis TF 5x80</t>
  </si>
  <si>
    <t>BauBuche n'est pas approuvé en classe de servive 3 !</t>
  </si>
  <si>
    <t>Image 1 : Assemblage GIGANT simple</t>
  </si>
  <si>
    <r>
      <rPr>
        <b/>
        <sz val="11"/>
        <rFont val="Calibri"/>
        <family val="2"/>
        <scheme val="minor"/>
      </rPr>
      <t>GIGANT 150/40 ST</t>
    </r>
    <r>
      <rPr>
        <sz val="11"/>
        <rFont val="Calibri"/>
        <family val="2"/>
        <scheme val="minor"/>
      </rPr>
      <t xml:space="preserve">
Sans platine de verrouillage
PP : 4 vis TF 10x80
PS : 4 vis TF 10x120</t>
    </r>
  </si>
  <si>
    <r>
      <rPr>
        <b/>
        <sz val="11"/>
        <rFont val="Calibri"/>
        <family val="2"/>
        <scheme val="minor"/>
      </rPr>
      <t>GIGANT 150/40 Max</t>
    </r>
    <r>
      <rPr>
        <sz val="11"/>
        <rFont val="Calibri"/>
        <family val="2"/>
        <scheme val="minor"/>
      </rPr>
      <t xml:space="preserve">
Sans platine de verrouillage
PP : 4 vis TF 10x80
PS : </t>
    </r>
    <r>
      <rPr>
        <b/>
        <sz val="11"/>
        <rFont val="Calibri"/>
        <family val="2"/>
        <scheme val="minor"/>
      </rPr>
      <t>4 vis TF 10x200</t>
    </r>
  </si>
  <si>
    <r>
      <rPr>
        <b/>
        <sz val="11"/>
        <rFont val="Calibri"/>
        <family val="2"/>
        <scheme val="minor"/>
      </rPr>
      <t>GIGANT 150/40 ST</t>
    </r>
    <r>
      <rPr>
        <sz val="11"/>
        <rFont val="Calibri"/>
        <family val="2"/>
        <scheme val="minor"/>
      </rPr>
      <t xml:space="preserve">
Avec platine de verrouillage
PP : 4 vis TF 10x80
PS : 4 vis TF 10x120</t>
    </r>
  </si>
  <si>
    <r>
      <rPr>
        <b/>
        <sz val="11"/>
        <rFont val="Calibri"/>
        <family val="2"/>
        <scheme val="minor"/>
      </rPr>
      <t>GIGANT 180/40 ST</t>
    </r>
    <r>
      <rPr>
        <sz val="11"/>
        <rFont val="Calibri"/>
        <family val="2"/>
        <scheme val="minor"/>
      </rPr>
      <t xml:space="preserve">
Sans platine de verrouillage
PP : 6 vis TF 10x80
PS : 6 vis TF 10x120</t>
    </r>
  </si>
  <si>
    <r>
      <rPr>
        <b/>
        <sz val="11"/>
        <rFont val="Calibri"/>
        <family val="2"/>
        <scheme val="minor"/>
      </rPr>
      <t>GIGANT 180/40 Max</t>
    </r>
    <r>
      <rPr>
        <sz val="11"/>
        <rFont val="Calibri"/>
        <family val="2"/>
        <scheme val="minor"/>
      </rPr>
      <t xml:space="preserve">
Sans platine de verrouillage
PP : 6 vis TF 10x80
PS : </t>
    </r>
    <r>
      <rPr>
        <b/>
        <sz val="11"/>
        <rFont val="Calibri"/>
        <family val="2"/>
        <scheme val="minor"/>
      </rPr>
      <t>6 vis TF 10x200</t>
    </r>
  </si>
  <si>
    <r>
      <rPr>
        <b/>
        <sz val="11"/>
        <rFont val="Calibri"/>
        <family val="2"/>
        <scheme val="minor"/>
      </rPr>
      <t>GIGANT 180/40 ST</t>
    </r>
    <r>
      <rPr>
        <sz val="11"/>
        <rFont val="Calibri"/>
        <family val="2"/>
        <scheme val="minor"/>
      </rPr>
      <t xml:space="preserve">
Avec platine de verrouillage
PP : 6 vis TF 10x80
PS : 5 vis TF 10x120</t>
    </r>
  </si>
  <si>
    <t>3. Verschweißter Kragenbolzen</t>
  </si>
  <si>
    <t>3. Accroche soudée (VS)</t>
  </si>
  <si>
    <t>3. Welded collar bolt</t>
  </si>
  <si>
    <t>6. Mit / ohne Vollgewindeschraube</t>
  </si>
  <si>
    <t>6. With/without fully threaded screw</t>
  </si>
  <si>
    <t>Image 1 : Assemblage RICON® S60 EK simple</t>
  </si>
  <si>
    <r>
      <rPr>
        <b/>
        <sz val="11"/>
        <color theme="1"/>
        <rFont val="Calibri"/>
        <family val="2"/>
        <scheme val="minor"/>
      </rPr>
      <t>RICON® S 140/60 EK/GK Max</t>
    </r>
    <r>
      <rPr>
        <sz val="11"/>
        <color theme="1"/>
        <rFont val="Calibri"/>
        <family val="2"/>
        <scheme val="minor"/>
      </rPr>
      <t xml:space="preserve">
PP : 10 vis TF 8x80
PS : 10 vis TF 8x</t>
    </r>
    <r>
      <rPr>
        <b/>
        <sz val="11"/>
        <color theme="1"/>
        <rFont val="Calibri"/>
        <family val="2"/>
        <scheme val="minor"/>
      </rPr>
      <t>240</t>
    </r>
  </si>
  <si>
    <t>Données de reprises de charges des connecteurs RICON® S, d'après l'ETA 10-0189 (Edition 25/08/2022)</t>
  </si>
  <si>
    <t>Image 1 : Assemblage RICON® S60 VK simple</t>
  </si>
  <si>
    <t>Image 2 : Assemblage RICON® S80 VK simple</t>
  </si>
  <si>
    <r>
      <rPr>
        <b/>
        <sz val="11"/>
        <color theme="1"/>
        <rFont val="Calibri"/>
        <family val="2"/>
        <scheme val="minor"/>
      </rPr>
      <t>RICON® S 140/60 VK ST</t>
    </r>
    <r>
      <rPr>
        <sz val="11"/>
        <color theme="1"/>
        <rFont val="Calibri"/>
        <family val="2"/>
        <scheme val="minor"/>
      </rPr>
      <t xml:space="preserve">
PP : 8 vis TF 8x80
PS : 8 vis TF 8x160</t>
    </r>
  </si>
  <si>
    <r>
      <rPr>
        <b/>
        <sz val="11"/>
        <color theme="1"/>
        <rFont val="Calibri"/>
        <family val="2"/>
        <scheme val="minor"/>
      </rPr>
      <t>RICON® S 140/60 VK</t>
    </r>
    <r>
      <rPr>
        <sz val="11"/>
        <color theme="1"/>
        <rFont val="Calibri"/>
        <family val="2"/>
        <scheme val="minor"/>
      </rPr>
      <t xml:space="preserve"> </t>
    </r>
    <r>
      <rPr>
        <b/>
        <sz val="11"/>
        <color theme="1"/>
        <rFont val="Calibri"/>
        <family val="2"/>
        <scheme val="minor"/>
      </rPr>
      <t>Max</t>
    </r>
    <r>
      <rPr>
        <sz val="11"/>
        <color theme="1"/>
        <rFont val="Calibri"/>
        <family val="2"/>
        <scheme val="minor"/>
      </rPr>
      <t xml:space="preserve">
PP : 8 vis TF 8x80
PS : </t>
    </r>
    <r>
      <rPr>
        <b/>
        <sz val="11"/>
        <color theme="1"/>
        <rFont val="Calibri"/>
        <family val="2"/>
        <scheme val="minor"/>
      </rPr>
      <t>8 vis TF 8x240</t>
    </r>
  </si>
  <si>
    <r>
      <rPr>
        <b/>
        <sz val="11"/>
        <color theme="1"/>
        <rFont val="Calibri"/>
        <family val="2"/>
        <scheme val="minor"/>
      </rPr>
      <t>RICON® S 200/60 VK ST</t>
    </r>
    <r>
      <rPr>
        <sz val="11"/>
        <color theme="1"/>
        <rFont val="Calibri"/>
        <family val="2"/>
        <scheme val="minor"/>
      </rPr>
      <t xml:space="preserve">
PP : 9 vis TF 8x80
PS : 9 vis TF 8x160</t>
    </r>
  </si>
  <si>
    <r>
      <rPr>
        <b/>
        <sz val="11"/>
        <color theme="1"/>
        <rFont val="Calibri"/>
        <family val="2"/>
        <scheme val="minor"/>
      </rPr>
      <t>RICON S 200/60 VK Max</t>
    </r>
    <r>
      <rPr>
        <sz val="11"/>
        <color theme="1"/>
        <rFont val="Calibri"/>
        <family val="2"/>
        <scheme val="minor"/>
      </rPr>
      <t xml:space="preserve">
PP : 9 vis TF 8x80
PS : </t>
    </r>
    <r>
      <rPr>
        <b/>
        <sz val="11"/>
        <color theme="1"/>
        <rFont val="Calibri"/>
        <family val="2"/>
        <scheme val="minor"/>
      </rPr>
      <t>9 vis TF 8x240</t>
    </r>
  </si>
  <si>
    <r>
      <rPr>
        <b/>
        <sz val="11"/>
        <color theme="1"/>
        <rFont val="Calibri"/>
        <family val="2"/>
        <scheme val="minor"/>
      </rPr>
      <t>RICON® S 200/80 VK ST</t>
    </r>
    <r>
      <rPr>
        <sz val="11"/>
        <color theme="1"/>
        <rFont val="Calibri"/>
        <family val="2"/>
        <scheme val="minor"/>
      </rPr>
      <t xml:space="preserve">
PP : 9 vis TF 10x100
PS : 9 vis TF 10x200</t>
    </r>
  </si>
  <si>
    <r>
      <rPr>
        <b/>
        <sz val="11"/>
        <color theme="1"/>
        <rFont val="Calibri"/>
        <family val="2"/>
        <scheme val="minor"/>
      </rPr>
      <t>RICON® S 200/80 VK Max</t>
    </r>
    <r>
      <rPr>
        <sz val="11"/>
        <color theme="1"/>
        <rFont val="Calibri"/>
        <family val="2"/>
        <scheme val="minor"/>
      </rPr>
      <t xml:space="preserve">
PP : 9 vis TF 10x100
PS :</t>
    </r>
    <r>
      <rPr>
        <b/>
        <sz val="11"/>
        <color theme="1"/>
        <rFont val="Calibri"/>
        <family val="2"/>
        <scheme val="minor"/>
      </rPr>
      <t xml:space="preserve"> 9 vis TF 10x300</t>
    </r>
  </si>
  <si>
    <r>
      <rPr>
        <b/>
        <sz val="11"/>
        <color theme="1"/>
        <rFont val="Calibri"/>
        <family val="2"/>
        <scheme val="minor"/>
      </rPr>
      <t>RICON® S 290/80 VK ST</t>
    </r>
    <r>
      <rPr>
        <sz val="11"/>
        <color theme="1"/>
        <rFont val="Calibri"/>
        <family val="2"/>
        <scheme val="minor"/>
      </rPr>
      <t xml:space="preserve">
PP : 9 vis TF 10x100
PS : 9 vis TF 10x200</t>
    </r>
  </si>
  <si>
    <r>
      <rPr>
        <b/>
        <sz val="11"/>
        <color theme="1"/>
        <rFont val="Calibri"/>
        <family val="2"/>
        <scheme val="minor"/>
      </rPr>
      <t>RICON® S 290/80 VK Max</t>
    </r>
    <r>
      <rPr>
        <sz val="11"/>
        <color theme="1"/>
        <rFont val="Calibri"/>
        <family val="2"/>
        <scheme val="minor"/>
      </rPr>
      <t xml:space="preserve">
PP : 9 vis TF 10x100
PS : </t>
    </r>
    <r>
      <rPr>
        <b/>
        <sz val="11"/>
        <color theme="1"/>
        <rFont val="Calibri"/>
        <family val="2"/>
        <scheme val="minor"/>
      </rPr>
      <t>9 vis TF 10x300</t>
    </r>
  </si>
  <si>
    <t>Image 1 : Assemblage RICON® S60 VS simple</t>
  </si>
  <si>
    <t>Image 2 : Assemblage RICON® S390x80 VS+ZP simple</t>
  </si>
  <si>
    <r>
      <rPr>
        <b/>
        <sz val="11"/>
        <color theme="1"/>
        <rFont val="Calibri"/>
        <family val="2"/>
        <scheme val="minor"/>
      </rPr>
      <t>RICON® S 140/60 VS  Max</t>
    </r>
    <r>
      <rPr>
        <sz val="11"/>
        <color theme="1"/>
        <rFont val="Calibri"/>
        <family val="2"/>
        <scheme val="minor"/>
      </rPr>
      <t xml:space="preserve">
PP : 10 vis TF 8x80
PS : 10 vis TF 8x</t>
    </r>
    <r>
      <rPr>
        <b/>
        <sz val="11"/>
        <color theme="1"/>
        <rFont val="Calibri"/>
        <family val="2"/>
        <scheme val="minor"/>
      </rPr>
      <t>240</t>
    </r>
  </si>
  <si>
    <r>
      <rPr>
        <b/>
        <sz val="11"/>
        <color theme="1"/>
        <rFont val="Calibri"/>
        <family val="2"/>
        <scheme val="minor"/>
      </rPr>
      <t>RICON® S 200/60 VS  Max</t>
    </r>
    <r>
      <rPr>
        <sz val="11"/>
        <color theme="1"/>
        <rFont val="Calibri"/>
        <family val="2"/>
        <scheme val="minor"/>
      </rPr>
      <t xml:space="preserve">
PP : 16 vis TF 8x80
PS : 16 vis TF 8x</t>
    </r>
    <r>
      <rPr>
        <b/>
        <sz val="11"/>
        <color theme="1"/>
        <rFont val="Calibri"/>
        <family val="2"/>
        <scheme val="minor"/>
      </rPr>
      <t>240</t>
    </r>
  </si>
  <si>
    <r>
      <rPr>
        <b/>
        <sz val="11"/>
        <color theme="1"/>
        <rFont val="Calibri"/>
        <family val="2"/>
        <scheme val="minor"/>
      </rPr>
      <t>RICON® S 200/80 VS  Max</t>
    </r>
    <r>
      <rPr>
        <sz val="11"/>
        <color theme="1"/>
        <rFont val="Calibri"/>
        <family val="2"/>
        <scheme val="minor"/>
      </rPr>
      <t xml:space="preserve">
PP : 16 vis TF 10x100
PS : 16 vis TF 10x</t>
    </r>
    <r>
      <rPr>
        <b/>
        <sz val="11"/>
        <color theme="1"/>
        <rFont val="Calibri"/>
        <family val="2"/>
        <scheme val="minor"/>
      </rPr>
      <t>300</t>
    </r>
  </si>
  <si>
    <r>
      <rPr>
        <b/>
        <sz val="11"/>
        <color theme="1"/>
        <rFont val="Calibri"/>
        <family val="2"/>
        <scheme val="minor"/>
      </rPr>
      <t>RICON® S 290/80 VS max</t>
    </r>
    <r>
      <rPr>
        <sz val="11"/>
        <color theme="1"/>
        <rFont val="Calibri"/>
        <family val="2"/>
        <scheme val="minor"/>
      </rPr>
      <t xml:space="preserve">
PP : 25 vis TF 10x100
PS : 25 vis TF 10x</t>
    </r>
    <r>
      <rPr>
        <b/>
        <sz val="11"/>
        <color theme="1"/>
        <rFont val="Calibri"/>
        <family val="2"/>
        <scheme val="minor"/>
      </rPr>
      <t>300</t>
    </r>
  </si>
  <si>
    <r>
      <rPr>
        <b/>
        <sz val="11"/>
        <color theme="1"/>
        <rFont val="Calibri"/>
        <family val="2"/>
        <scheme val="minor"/>
      </rPr>
      <t>RICON® S 390/80 VS + ZP  Max</t>
    </r>
    <r>
      <rPr>
        <sz val="11"/>
        <color theme="1"/>
        <rFont val="Calibri"/>
        <family val="2"/>
        <scheme val="minor"/>
      </rPr>
      <t xml:space="preserve">
PP : 28 vis TF 10x100 + 2 vis TF 10x400 
PS : 28 vis TF 10x</t>
    </r>
    <r>
      <rPr>
        <b/>
        <sz val="11"/>
        <color theme="1"/>
        <rFont val="Calibri"/>
        <family val="2"/>
        <scheme val="minor"/>
      </rPr>
      <t>300</t>
    </r>
    <r>
      <rPr>
        <sz val="11"/>
        <color theme="1"/>
        <rFont val="Calibri"/>
        <family val="2"/>
        <scheme val="minor"/>
      </rPr>
      <t xml:space="preserve"> + 2 vis TF 10x450</t>
    </r>
  </si>
  <si>
    <t>2 connectors arranged one below, or behind the other (figure 2)</t>
  </si>
  <si>
    <t>3. RICON® wood-to-wood connection</t>
  </si>
  <si>
    <t>4. Double RICON® wood-to-wood connection</t>
  </si>
  <si>
    <t>5. RICON® wood-to-wood connection with connecting nut</t>
  </si>
  <si>
    <t>BauBuche is not approved for outdoor use (service class 3)!</t>
  </si>
  <si>
    <t xml:space="preserve">Table for load-bearing capacity of KNAPP® RICON® stainless steel according to ETA 10-0189 (Issued on 25/08/2022) </t>
  </si>
  <si>
    <t xml:space="preserve">Table for load-bearing capacity of KNAPP® RICON® carbon steel according to ETA 10-0189 (Issued on 25/08/2022) </t>
  </si>
  <si>
    <r>
      <rPr>
        <b/>
        <sz val="11"/>
        <color theme="1"/>
        <rFont val="Calibri"/>
        <family val="2"/>
        <scheme val="minor"/>
      </rPr>
      <t>Figure 2:</t>
    </r>
    <r>
      <rPr>
        <sz val="11"/>
        <color theme="1"/>
        <rFont val="Calibri"/>
        <family val="2"/>
        <scheme val="minor"/>
      </rPr>
      <t xml:space="preserve"> RICON® Double connection - one above the other</t>
    </r>
  </si>
  <si>
    <t>Min. cross section joist [mm]</t>
  </si>
  <si>
    <t>Belastungswerte</t>
  </si>
  <si>
    <t>Table for load-bearing capacity of KNAPP® GIGANT according to ETA 10-0189 (Issued on 25/08/2022)</t>
  </si>
  <si>
    <t>Table for load-bearing capacity of KNAPP® RICON® S according to ETA 10-0189 (Issued on 25/08/2022)</t>
  </si>
  <si>
    <t>Min.cross section  joist [mm]</t>
  </si>
  <si>
    <t>1. Header (Main Beam)</t>
  </si>
  <si>
    <t>2. Joist (Secondary Beam)</t>
  </si>
  <si>
    <t>Solid timber softwood</t>
  </si>
  <si>
    <t>Outdoor covered</t>
  </si>
  <si>
    <r>
      <t xml:space="preserve"> </t>
    </r>
    <r>
      <rPr>
        <b/>
        <sz val="11"/>
        <color theme="1"/>
        <rFont val="Symbol"/>
        <family val="1"/>
        <charset val="2"/>
      </rPr>
      <t>g</t>
    </r>
    <r>
      <rPr>
        <b/>
        <vertAlign val="subscript"/>
        <sz val="11"/>
        <color theme="1"/>
        <rFont val="Calibri"/>
        <family val="2"/>
        <scheme val="minor"/>
      </rPr>
      <t>M</t>
    </r>
    <r>
      <rPr>
        <b/>
        <sz val="11"/>
        <color theme="1"/>
        <rFont val="Calibri"/>
        <family val="2"/>
        <scheme val="minor"/>
      </rPr>
      <t xml:space="preserve"> =1,3 </t>
    </r>
  </si>
  <si>
    <t>Valeurs de calcul  F4,Rd [kN]</t>
  </si>
  <si>
    <t>4. 2x Schrägschrauben SK 10x400 (Hauptträger)</t>
  </si>
  <si>
    <t>5. 2x Schrägschrauben SK 10x450 (Nebenträger)</t>
  </si>
  <si>
    <t>4. 2x inclined srews CS 10x400 (Header)</t>
  </si>
  <si>
    <t>5. 2x inclined screws CS 10x450 (Joist)</t>
  </si>
  <si>
    <t>F1</t>
  </si>
  <si>
    <t>F2</t>
  </si>
  <si>
    <t>F3</t>
  </si>
  <si>
    <t>In Einschubrichtung</t>
  </si>
  <si>
    <t>Entgegen der Einschubrichtung</t>
  </si>
  <si>
    <t>Against the direction of insertion</t>
  </si>
  <si>
    <t>Belastungswerte:</t>
  </si>
  <si>
    <t>Load-bearing values:</t>
  </si>
  <si>
    <t>F45</t>
  </si>
  <si>
    <t>Bemessungswerte</t>
  </si>
  <si>
    <t>Design values</t>
  </si>
  <si>
    <t>Valeurs de calcul</t>
  </si>
  <si>
    <t>RICON 100/40 SL carbon
H: 2xSK8x50, 4xSK5x50
J: 2xSK8x160; 4xSK5x79</t>
  </si>
  <si>
    <t>Mittige Zugbelastung</t>
  </si>
  <si>
    <t>RICON 120/40 SL carbon
H: 2xSK8x50, 6xSK5x50
J: 2xSK8x160; 6xSK5x81</t>
  </si>
  <si>
    <t>Central tensile load</t>
  </si>
  <si>
    <t>Dans le sens inverse de l'insertion</t>
  </si>
  <si>
    <t>In insertion direction</t>
  </si>
  <si>
    <t>Dans le sens de l'insertion</t>
  </si>
  <si>
    <t>Charge de traction centrale</t>
  </si>
  <si>
    <t>Anzahl der Sperrbügel:</t>
  </si>
  <si>
    <t>Number of locking clips:</t>
  </si>
  <si>
    <t>Nombre d'étriers de verrouillage :</t>
  </si>
  <si>
    <t>Mittig rechtwinklig zur Einschubrichtung</t>
  </si>
  <si>
    <t>Centrally at right angles to the direction of insertion</t>
  </si>
  <si>
    <t>Au centre, perpendiculairement au sens d'insertion</t>
  </si>
  <si>
    <t>F4</t>
  </si>
  <si>
    <t>Off-centre at right angles to insertion direction</t>
  </si>
  <si>
    <t>Décentré perpendiculairement au sens d'insertion</t>
  </si>
  <si>
    <t>Aussermittig rechtwinklig zur Einschubrichtung</t>
  </si>
  <si>
    <t>NKL =</t>
  </si>
  <si>
    <t xml:space="preserve">Bemessungswerte </t>
  </si>
  <si>
    <r>
      <rPr>
        <b/>
        <sz val="11"/>
        <rFont val="Calibri"/>
        <family val="2"/>
        <scheme val="minor"/>
      </rPr>
      <t>GIGANT 120/40  ST
mit/ohne Sperrklappe</t>
    </r>
    <r>
      <rPr>
        <sz val="11"/>
        <rFont val="Calibri"/>
        <family val="2"/>
        <scheme val="minor"/>
      </rPr>
      <t xml:space="preserve">
HT: 3xSK10x80
NT: 3xSK10x120</t>
    </r>
  </si>
  <si>
    <r>
      <rPr>
        <b/>
        <sz val="11"/>
        <rFont val="Calibri"/>
        <family val="2"/>
        <scheme val="minor"/>
      </rPr>
      <t>GIGANT 120/40 ST
with/without locking clip</t>
    </r>
    <r>
      <rPr>
        <sz val="11"/>
        <rFont val="Calibri"/>
        <family val="2"/>
        <scheme val="minor"/>
      </rPr>
      <t xml:space="preserve">
H: 3xCS10x80
J: 3xCS10x120</t>
    </r>
  </si>
  <si>
    <r>
      <rPr>
        <b/>
        <sz val="11"/>
        <rFont val="Calibri"/>
        <family val="2"/>
        <scheme val="minor"/>
      </rPr>
      <t>GIGANT 120/40 ST
Avec /Sans platine de verrouillage</t>
    </r>
    <r>
      <rPr>
        <sz val="11"/>
        <rFont val="Calibri"/>
        <family val="2"/>
        <scheme val="minor"/>
      </rPr>
      <t xml:space="preserve">
PP : 3 vis TF 10x80
PS : 3 vis TF 10x120</t>
    </r>
  </si>
  <si>
    <t>GIGANT 150/ 40 st
without clip lock
H: 4xSK10x80
J: 4xSK10x120</t>
  </si>
  <si>
    <t>GIGANT 150/40 max
without clip lock
H: 4xSK10x80
J: 4xSK10x200</t>
  </si>
  <si>
    <t>GIGANT 180/40 St
without clip lock
H: 6xSK10x80
J: 6xSK10x120</t>
  </si>
  <si>
    <t>GIGANT 180/40 max
without clip lock
H: 6xSK10x80
J: 6xSK10x200</t>
  </si>
  <si>
    <t>GIGANT 150/40 ST
without clip lock
H: 4xSK10x80
J: 4xSK10x120</t>
  </si>
  <si>
    <t>GIGANT 180/40 ST
without clip lock
H: 6xSK10x80
J: 6xSK10x120</t>
  </si>
  <si>
    <t>F1: GIGANT Connector:</t>
  </si>
  <si>
    <t>F1: RICON Connector:</t>
  </si>
  <si>
    <t>F1: RICON S EK Connector:</t>
  </si>
  <si>
    <t>F1: RICON S VK Connector:</t>
  </si>
  <si>
    <t>F1: WALCO V Connector</t>
  </si>
  <si>
    <t>F2: GIGANT Connector:</t>
  </si>
  <si>
    <t>F2: RICON Connector:</t>
  </si>
  <si>
    <t>F2: RICON S EK/GK Connector</t>
  </si>
  <si>
    <t xml:space="preserve">F2: RICON S VK Connector </t>
  </si>
  <si>
    <t>F2: WALCO V Connector:</t>
  </si>
  <si>
    <t>F3: GIGANT Connector:</t>
  </si>
  <si>
    <t>F3: RICON Connector:</t>
  </si>
  <si>
    <t>F3: RICON S EK / GK Connector</t>
  </si>
  <si>
    <t>F3: WALCO V Connector:</t>
  </si>
  <si>
    <t>F45: GIGANT Connector:</t>
  </si>
  <si>
    <t>F45: RICON Connector:</t>
  </si>
  <si>
    <t xml:space="preserve">F45: RICON S EK / GK Connector </t>
  </si>
  <si>
    <t xml:space="preserve">F45: RICON S VK Connector </t>
  </si>
  <si>
    <t>F45: WALCO V Connector:</t>
  </si>
  <si>
    <t>F1: RICON S VS Connector</t>
  </si>
  <si>
    <t>F2: RICON S VS Connector</t>
  </si>
  <si>
    <t>F45: RICON S Connector</t>
  </si>
  <si>
    <t>Joist: 8 SK 10x200</t>
  </si>
  <si>
    <t>Joist: 8 SK 8x160</t>
  </si>
  <si>
    <t>Joist: 7 SK 8x160</t>
  </si>
  <si>
    <t>Header: 10 SK 8x80</t>
  </si>
  <si>
    <t>Header: 7 SK 8x80</t>
  </si>
  <si>
    <t>Header: 16 SK 8x80</t>
  </si>
  <si>
    <t>Header: 8 SK 8x80</t>
  </si>
  <si>
    <t>Header: 16 SK 10x100</t>
  </si>
  <si>
    <t>Header: 8 SK 10x100</t>
  </si>
  <si>
    <t>Header: 25 SK 10x100</t>
  </si>
  <si>
    <t>Header: 28 SK 10x100</t>
  </si>
  <si>
    <t>Header: 28 SK 10x100
+2 SK10x400</t>
  </si>
  <si>
    <t xml:space="preserve">Belastungstabelle von KNAPP® RICON®, RICON® S und GIGANT® nach ETA-10/0189 (Ausgabe 25/08/2022) </t>
  </si>
  <si>
    <t xml:space="preserve">Table for load-bearing capacity of KNAPP® RICON®, RICON® S and GIGANT® according to ETA 10-0189 (Issued on 25/08/2022) </t>
  </si>
  <si>
    <t>Belastungstabelle zur Auswahl der Haupt-Nebenträger-Verbinder</t>
  </si>
  <si>
    <t>Load table for the selection of the main-secondary beam connectors</t>
  </si>
  <si>
    <t>Die Haupt-Nebenträger-Verbinder werden nach folgenden Kriterien ausgewählt:</t>
  </si>
  <si>
    <t>The main secondary beam connectors are selected according to the following criteria:</t>
  </si>
  <si>
    <t>Festigkeitsklasse</t>
  </si>
  <si>
    <t>Nutzungsklasse NKL</t>
  </si>
  <si>
    <t>Strength class</t>
  </si>
  <si>
    <t>Service class</t>
  </si>
  <si>
    <t>Types de bois</t>
  </si>
  <si>
    <t>Classe de service</t>
  </si>
  <si>
    <t>Min. Nebenträgerabmessungen</t>
  </si>
  <si>
    <t>Min. cross section joist</t>
  </si>
  <si>
    <t>Section minimum poutre secondaire</t>
  </si>
  <si>
    <t>-</t>
  </si>
  <si>
    <t>Klasse der Einwirkungsdauer (kmod)</t>
  </si>
  <si>
    <t>Load-duration-classes (kmod)</t>
  </si>
  <si>
    <t>Classe de durée d'exposition (kmod)</t>
  </si>
  <si>
    <t>Belastbarkeit (charakteristische - Bemessungswerte)</t>
  </si>
  <si>
    <t>Load capacity (characteristic - design values)</t>
  </si>
  <si>
    <t>Capacité de charge (caractéristiques - valeurs de calcul)</t>
  </si>
  <si>
    <t>Force directions:</t>
  </si>
  <si>
    <t>Kraftrichtungen:</t>
  </si>
  <si>
    <t>F1: Central tensile load</t>
  </si>
  <si>
    <t>F2: Shear force in insertion direction</t>
  </si>
  <si>
    <t>F3: Shear force against the direction of insertion</t>
  </si>
  <si>
    <t>F45: Shear force perpendicular to the direction of insertion</t>
  </si>
  <si>
    <t>F3: Querkraft entgegen der Einschubrichtung</t>
  </si>
  <si>
    <t>F1: Mittige Zuglast</t>
  </si>
  <si>
    <t>F2: Querkraft in Einschubrichtung</t>
  </si>
  <si>
    <t>F45: Querkraft rechtwinklig zur Einschubrichtung</t>
  </si>
  <si>
    <t>RICON®</t>
  </si>
  <si>
    <t>60x40 - 160x40:</t>
  </si>
  <si>
    <t>50/80</t>
  </si>
  <si>
    <t>50x180</t>
  </si>
  <si>
    <t>Min- und max Verbindergrößen</t>
  </si>
  <si>
    <t>Min and max connector sizes</t>
  </si>
  <si>
    <t>Vorauswahl: Belastungsübersicht für F2 Kraftrichtung der KNAPP® Haupt-Nebenträger-Verbinder für die Holzsortierklasse GL24h:</t>
  </si>
  <si>
    <t>Preselection: Load overview for F2 force direction of KNAPP® Main-Secondary beam Connectors for timber grading class GL24h:</t>
  </si>
  <si>
    <t>Min. und max. charakteristischer F2,Rk [kN] Belastungswert</t>
  </si>
  <si>
    <t>Min. and max. characteristic F2,Rk [kN] load value</t>
  </si>
  <si>
    <t>RICON</t>
  </si>
  <si>
    <t>RICON® A2</t>
  </si>
  <si>
    <t>40x40 - 160x40:</t>
  </si>
  <si>
    <t>60x30 - 160x30:</t>
  </si>
  <si>
    <t>120x25 - 160x25:</t>
  </si>
  <si>
    <t>38x180</t>
  </si>
  <si>
    <t>30x90</t>
  </si>
  <si>
    <t>GIGANT®</t>
  </si>
  <si>
    <t>GIGANT</t>
  </si>
  <si>
    <t>120x40 - 180x40:</t>
  </si>
  <si>
    <t>RICON® EK /GK</t>
  </si>
  <si>
    <t>RICON® VK</t>
  </si>
  <si>
    <t>RICON® VS</t>
  </si>
  <si>
    <t>140x60 - 290x80</t>
  </si>
  <si>
    <t>140x60 - 390x80</t>
  </si>
  <si>
    <t>110/160</t>
  </si>
  <si>
    <t>160/600</t>
  </si>
  <si>
    <t>RICON S</t>
  </si>
  <si>
    <t>Auswahl Tabellenblatt</t>
  </si>
  <si>
    <t>Selection table sheet</t>
  </si>
  <si>
    <t>Sélection de la feuille de calcul</t>
  </si>
  <si>
    <t>66x16 - 70x20:</t>
  </si>
  <si>
    <t>Die in diesem EXCEL Tool angegebenen technischen Inhalte gelten, bis ein (im Internet zum Download zur Verfügung stehendes) neues EXCEL Tool erscheint. Dieses EXCEL Tool steht im ausschließlichen Eigentum der Knapp GmbH. Vervielfältigungen, Reproduktion oder Veröffentlichungen, auch nur auszugsweise, sind nur nach vorheriger schriftlicher Genehmigung durch die Knapp GmbH gestattet. Alle Angaben in dieses EXCEL Tool erfolgen unter dem Vorbehalt etwaiger Druck und Schreibfehler sowie sonstiger Irrtümer. Technische Zeichnungen und Berechnungen, insbesondere solche, die Statik betreffen, sind vom Kunden in Eigenverantwortung vorzunehmen. Allfällige diesbezügliche Berechnungen und Zeichnungen seitens der Firma Knapp GmbH sind Vorschläge zur Orientierung ohne Gewähr und/oder Haftung für deren Richtigkeit und befreien den Kunden daher nicht davon, selbst für eine ordnungsgemäße Zeichnung und Berechnung durch einen Fachmann Sorge zu tragen. Bildnachweise liegen vor und können bei Bedarf angefordert werden. Alle Rechte vorbehalten. Copyright © 2022 by Knapp GmbH.</t>
  </si>
  <si>
    <t>The technical contents specified in this EXCEL Tool are valid until a new EXCEL Tool (available for download on the Internet) appears. This EXCEL Tool is the exclusive property of Knapp GmbH. Duplication, reproduction or publication, even in part, is only permitted with the prior written consent of Knapp GmbH. All information in this EXCEL tool is subject to possible printing and typing errors and other mistakes. Technical drawings and calculations, in particular those concerning statics, are to be carried out by the customer on his own responsibility. Any calculations and drawings made by Knapp GmbH in this respect are suggestions for orientation purposes without guarantee and/or liability for their correctness and therefore do not release the customer from the obligation to ensure proper drawings and calculations by a specialist. Picture credits are available and can be requested if required. All rights reserved. Copyright © 2022 by Knapp GmbH.</t>
  </si>
  <si>
    <t xml:space="preserve">Tableaux des capacités de charge - KNAPP® RICON®, RICON® S et GIGANT® selon ETA-10/0189 (édition 25/08/2022) </t>
  </si>
  <si>
    <t>Données pour la sélection des connecteurs pour poutres principales et secondaires</t>
  </si>
  <si>
    <t>Le choix des connecteurs pour poutres principales et secondaires est fait selon les critères suivants :</t>
  </si>
  <si>
    <t>Directions des efforts :</t>
  </si>
  <si>
    <t>F1 : Traction axiale</t>
  </si>
  <si>
    <t>F2 : Effort transversal dans le sens de l'insertion</t>
  </si>
  <si>
    <t>F3 : Effort transversal dans le sens contraire à l'insertion</t>
  </si>
  <si>
    <t>F45 : Effort transversal perpendiculaire au sens d'insertion</t>
  </si>
  <si>
    <t>Présélection : vue d'ensemble pour une charge en sens d'insertion (F2) sur des connecteurs KNAPP® montés sur poutres principales et secondaires avec une classe de bois GL24h :</t>
  </si>
  <si>
    <t>Tailles min. et max. des connecteurs</t>
  </si>
  <si>
    <t>Sections minimum poutre secondaire [mm]</t>
  </si>
  <si>
    <t>Valeurs de charge caractéristiques min. et max. F2,Rk [kN]</t>
  </si>
  <si>
    <t>Conditions générales d'utilisation</t>
  </si>
  <si>
    <t>Le contenu technique évoqué dans ces feuilles de calcul EXCEL est valable jusqu‘à parution d’une nouvelle version (toujours actualisée et téléchargeable sur internet). Ces feuilles de calcul EXCEL Tool sont la propriété exclusive de Knapp GmbH. Toute copie, reproduction, publication et aussi l‘utilisation d‘extraits sont soumis à autorisation écrite préalable de Knapp GmbH. Sauf erreurs, fautes d’impression ou modifications et réserves techniques. La vérification et l‘adaptation des dessins, calculs ou tous détails techniques, en particulier les données statiques restent à la responsabilité des clients. Les calculs et dessins complémentaires édités par Knapp GmbH sont des propositions d‘orientation et ne sont pas des garanties, les clients sont toujours tenus de vérifier ces données et de les adapter à leur cas de figure. Les photos présentes dans ce document sont disponibles sous format informatique sur demande à notre service marketing. Tous droits réservés. Copyright © 2022 par Knapp GmbH.</t>
  </si>
  <si>
    <t>Nombre de goupille de verrouillage  :</t>
  </si>
  <si>
    <t>Valeurs :</t>
  </si>
  <si>
    <t>Image 1 : Assemblage RICON® poteau-traverse</t>
  </si>
  <si>
    <t>Image 2 : Assemblage RICON® poteau-traverse en série</t>
  </si>
  <si>
    <t>Image 3 : Assemblage RICON® poteau-traverse avec platine de renfort</t>
  </si>
  <si>
    <r>
      <t xml:space="preserve">Calcul de F4,Rd pour charge décentrée de vitrage ép. t </t>
    </r>
    <r>
      <rPr>
        <sz val="11"/>
        <rFont val="Calibri"/>
        <family val="2"/>
      </rPr>
      <t xml:space="preserve">≤ 53 mm </t>
    </r>
    <r>
      <rPr>
        <sz val="11"/>
        <rFont val="Calibri"/>
        <family val="2"/>
        <scheme val="minor"/>
      </rPr>
      <t>:</t>
    </r>
  </si>
  <si>
    <t>1. Poutre principale</t>
  </si>
  <si>
    <t>2. Poutre secondaire</t>
  </si>
  <si>
    <t>6. Avec/sans vis TF à filetage total</t>
  </si>
  <si>
    <t>4. 2  vis biais TF 10x400 (Poutre principale)</t>
  </si>
  <si>
    <t>5. 2 vis biais TF 10x450 (Poutre secondaire)</t>
  </si>
  <si>
    <t>Version 7:</t>
  </si>
  <si>
    <t>RICON 40/40 A2
H: 4xCS5x50
J: 4xCS5x80</t>
  </si>
  <si>
    <t>RICON 40/40 A2 
PP : 4 vis TF 5x50
PS : 4 vis TF 5x80</t>
  </si>
  <si>
    <t>RICON 40/40 A2
HT: 4xSK5x50
NT: 4xSK5x80</t>
  </si>
  <si>
    <r>
      <rPr>
        <b/>
        <sz val="10"/>
        <rFont val="Calibri"/>
        <family val="2"/>
        <scheme val="minor"/>
      </rPr>
      <t xml:space="preserve">RICON® 100/25 A2  </t>
    </r>
    <r>
      <rPr>
        <sz val="10"/>
        <rFont val="Calibri"/>
        <family val="2"/>
        <scheme val="minor"/>
      </rPr>
      <t xml:space="preserve">
HT: 2xSK8x50, 2xSK5x50
NT: 2xSK8x80, 2xSK5x80</t>
    </r>
  </si>
  <si>
    <r>
      <rPr>
        <b/>
        <sz val="10"/>
        <rFont val="Calibri"/>
        <family val="2"/>
        <scheme val="minor"/>
      </rPr>
      <t xml:space="preserve">RICON® 120/25 A2  </t>
    </r>
    <r>
      <rPr>
        <sz val="10"/>
        <rFont val="Calibri"/>
        <family val="2"/>
        <scheme val="minor"/>
      </rPr>
      <t xml:space="preserve">
HT: 2xSK8x50, 3xSK5x50
NT: 2xSK8x80, 3xSK5x80</t>
    </r>
  </si>
  <si>
    <r>
      <rPr>
        <b/>
        <sz val="10"/>
        <rFont val="Calibri"/>
        <family val="2"/>
        <scheme val="minor"/>
      </rPr>
      <t xml:space="preserve">RICON® 140/25 A2  </t>
    </r>
    <r>
      <rPr>
        <sz val="10"/>
        <rFont val="Calibri"/>
        <family val="2"/>
        <scheme val="minor"/>
      </rPr>
      <t xml:space="preserve">
HT: 2xSK8x50, 3xSK5x50
NT: 2xSK8x80, 3xSK5x80</t>
    </r>
  </si>
  <si>
    <r>
      <rPr>
        <b/>
        <sz val="10"/>
        <rFont val="Calibri"/>
        <family val="2"/>
        <scheme val="minor"/>
      </rPr>
      <t xml:space="preserve">RICON® 160/25 A2  </t>
    </r>
    <r>
      <rPr>
        <sz val="10"/>
        <rFont val="Calibri"/>
        <family val="2"/>
        <scheme val="minor"/>
      </rPr>
      <t xml:space="preserve">
HT: 2xSK8x50, 4xSK5x50
NT: 2xSK8x80, 4xSK5x80</t>
    </r>
  </si>
  <si>
    <r>
      <rPr>
        <b/>
        <sz val="11"/>
        <rFont val="Calibri"/>
        <family val="2"/>
        <scheme val="minor"/>
      </rPr>
      <t xml:space="preserve">RICON® 100/25 A2 </t>
    </r>
    <r>
      <rPr>
        <sz val="11"/>
        <rFont val="Calibri"/>
        <family val="2"/>
        <scheme val="minor"/>
      </rPr>
      <t xml:space="preserve">
H: 2xSK 8x50, 2xSK5x50
J: 2xSK8x80; 2xSK5x80</t>
    </r>
  </si>
  <si>
    <r>
      <rPr>
        <b/>
        <sz val="11"/>
        <rFont val="Calibri"/>
        <family val="2"/>
        <scheme val="minor"/>
      </rPr>
      <t xml:space="preserve">RICON® 120/25 A2  </t>
    </r>
    <r>
      <rPr>
        <sz val="11"/>
        <rFont val="Calibri"/>
        <family val="2"/>
        <scheme val="minor"/>
      </rPr>
      <t xml:space="preserve">
H: 2xSK 8x50, 3xSK5x50
J: 2xSK8x80; 3xSK5x80</t>
    </r>
  </si>
  <si>
    <r>
      <rPr>
        <b/>
        <sz val="11"/>
        <rFont val="Calibri"/>
        <family val="2"/>
        <scheme val="minor"/>
      </rPr>
      <t xml:space="preserve">RICON® 140/25A2  </t>
    </r>
    <r>
      <rPr>
        <sz val="11"/>
        <rFont val="Calibri"/>
        <family val="2"/>
        <scheme val="minor"/>
      </rPr>
      <t xml:space="preserve">
H: 2xSK 8x50, 3xSK5x50
J: 2xSK8x80; 3xSK5x80</t>
    </r>
  </si>
  <si>
    <r>
      <rPr>
        <b/>
        <sz val="11"/>
        <rFont val="Calibri"/>
        <family val="2"/>
        <scheme val="minor"/>
      </rPr>
      <t xml:space="preserve">RICON® 160/25 A2 </t>
    </r>
    <r>
      <rPr>
        <sz val="11"/>
        <rFont val="Calibri"/>
        <family val="2"/>
        <scheme val="minor"/>
      </rPr>
      <t xml:space="preserve">
H: 2xSK 8x50, 4xSK5x50
J: 2xSK8x80; 4xSK5x80</t>
    </r>
  </si>
  <si>
    <r>
      <rPr>
        <b/>
        <sz val="11"/>
        <rFont val="Calibri"/>
        <family val="2"/>
        <scheme val="minor"/>
      </rPr>
      <t>RICON® 120/25 A2</t>
    </r>
    <r>
      <rPr>
        <sz val="11"/>
        <rFont val="Calibri"/>
        <family val="2"/>
        <scheme val="minor"/>
      </rPr>
      <t xml:space="preserve"> </t>
    </r>
    <r>
      <rPr>
        <sz val="10"/>
        <rFont val="Calibri"/>
        <family val="2"/>
        <scheme val="minor"/>
      </rPr>
      <t xml:space="preserve">
PP : 2 vis TF 8x50, 3 vis TF 5x50
PS : 2 vis TF 8x80, 3 vis TF 5x80</t>
    </r>
  </si>
  <si>
    <r>
      <rPr>
        <b/>
        <sz val="11"/>
        <rFont val="Calibri"/>
        <family val="2"/>
        <scheme val="minor"/>
      </rPr>
      <t>RICON® 100/25 A2</t>
    </r>
    <r>
      <rPr>
        <sz val="11"/>
        <rFont val="Calibri"/>
        <family val="2"/>
        <scheme val="minor"/>
      </rPr>
      <t xml:space="preserve"> </t>
    </r>
    <r>
      <rPr>
        <sz val="10"/>
        <rFont val="Calibri"/>
        <family val="2"/>
        <scheme val="minor"/>
      </rPr>
      <t xml:space="preserve">
PP : 2 vis TF 8x50, 2 vis TF 5x50
PS : 2 vis TF 8x80, 2 vis TF 5x80</t>
    </r>
  </si>
  <si>
    <r>
      <rPr>
        <b/>
        <sz val="11"/>
        <rFont val="Calibri"/>
        <family val="2"/>
        <scheme val="minor"/>
      </rPr>
      <t>RICON® 140/25 A2</t>
    </r>
    <r>
      <rPr>
        <sz val="10"/>
        <rFont val="Calibri"/>
        <family val="2"/>
        <scheme val="minor"/>
      </rPr>
      <t xml:space="preserve">
PP : 2 vis TF 8x50, 3 vis TF 5x50
PS : 2 vis TF 8x80, 3 vis TF 5x80</t>
    </r>
  </si>
  <si>
    <r>
      <rPr>
        <b/>
        <sz val="11"/>
        <rFont val="Calibri"/>
        <family val="2"/>
        <scheme val="minor"/>
      </rPr>
      <t>RICON® 160/25 A2</t>
    </r>
    <r>
      <rPr>
        <sz val="10"/>
        <rFont val="Calibri"/>
        <family val="2"/>
        <scheme val="minor"/>
      </rPr>
      <t xml:space="preserve">
PP : 2 vis TF 8x50, 4 vis TF 5x50
PS : 2 vis TF 8x80, 4 vis TF 5x80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</si>
</sst>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_(* \(#,##0.00\);_(* &quot;-&quot;??_);_(@_)"/>
    <numFmt numFmtId="165" formatCode="_-* #,##0.00\ _€_-;\-* #,##0.00\ _€_-;_-* &quot;-&quot;??\ _€_-;_-@_-"/>
    <numFmt numFmtId="166" formatCode="&quot;kmod=&quot;0.0"/>
    <numFmt numFmtId="167" formatCode="0.0"/>
    <numFmt numFmtId="168" formatCode="0.000"/>
    <numFmt numFmtId="169" formatCode="0.00000"/>
    <numFmt numFmtId="170" formatCode="_-* #,##0.0_-;\-* #,##0.0_-;_-* &quot;-&quot;??_-;_-@_-"/>
    <numFmt numFmtId="171" formatCode="_-* #,##0.0_-;\-* #,##0.0_-;_-* &quot;-&quot;?_-;_-@_-"/>
    <numFmt numFmtId="172" formatCode="&quot;kmod =&quot;0.00"/>
    <numFmt numFmtId="173" formatCode="&quot;kmod=&quot;0.00"/>
    <numFmt numFmtId="174" formatCode="_-* #,##0.000_-;\-* #,##0.000_-;_-* &quot;-&quot;??_-;_-@_-"/>
    <numFmt numFmtId="175" formatCode="_-* #,##0.000\ _€_-;\-* #,##0.000\ _€_-;_-* &quot;-&quot;???\ _€_-;_-@_-"/>
    <numFmt numFmtId="176" formatCode="_-* #,##0.00\ _€_-;\-* #,##0.00\ _€_-;_-* &quot;-&quot;???\ _€_-;_-@_-"/>
    <numFmt numFmtId="177" formatCode="_-* #,##0_-;\-* #,##0_-;_-* &quot;-&quot;??_-;_-@_-"/>
    <numFmt numFmtId="178" formatCode="&quot;kmod = &quot;0.0"/>
    <numFmt numFmtId="179" formatCode="&quot;kmod = &quot;0.00"/>
    <numFmt numFmtId="180" formatCode="0&quot; [kN]&quot;"/>
    <numFmt numFmtId="181" formatCode="_-* #,##0.00_-;\-* #,##0.00_-;_-* &quot;-&quot;?_-;_-@_-"/>
    <numFmt numFmtId="182" formatCode="&quot;gM= &quot;0.00"/>
  </numFmts>
  <fonts count="71">
    <font>
      <sz val="11"/>
      <color theme="1"/>
      <name val="Calibri"/>
      <family val="2"/>
      <scheme val="minor"/>
    </font>
    <font>
      <sz val="11"/>
      <color theme="1"/>
      <name val="Calibri"/>
      <family val="2"/>
      <scheme val="minor"/>
    </font>
    <font>
      <sz val="11"/>
      <color rgb="FFFF0000"/>
      <name val="Calibri"/>
      <family val="2"/>
      <scheme val="minor"/>
    </font>
    <font>
      <b/>
      <sz val="18"/>
      <color indexed="8"/>
      <name val="Calibri"/>
      <family val="2"/>
    </font>
    <font>
      <b/>
      <vertAlign val="subscript"/>
      <sz val="18"/>
      <color indexed="8"/>
      <name val="Calibri"/>
      <family val="2"/>
    </font>
    <font>
      <vertAlign val="subscript"/>
      <sz val="11"/>
      <color indexed="8"/>
      <name val="Calibri"/>
      <family val="2"/>
    </font>
    <font>
      <b/>
      <sz val="11"/>
      <color indexed="8"/>
      <name val="Calibri"/>
      <family val="2"/>
    </font>
    <font>
      <b/>
      <vertAlign val="subscript"/>
      <sz val="11"/>
      <color indexed="8"/>
      <name val="Calibri"/>
      <family val="2"/>
    </font>
    <font>
      <sz val="11"/>
      <color indexed="8"/>
      <name val="Symbol"/>
      <family val="1"/>
      <charset val="2"/>
    </font>
    <font>
      <sz val="11"/>
      <name val="Calibri"/>
      <family val="2"/>
      <scheme val="minor"/>
    </font>
    <font>
      <sz val="11"/>
      <color indexed="8"/>
      <name val="Calibri"/>
      <family val="2"/>
    </font>
    <font>
      <sz val="11"/>
      <name val="Calibri"/>
      <family val="2"/>
    </font>
    <font>
      <b/>
      <sz val="11"/>
      <name val="Calibri"/>
      <family val="2"/>
    </font>
    <font>
      <b/>
      <sz val="14"/>
      <color indexed="8"/>
      <name val="Calibri"/>
      <family val="2"/>
    </font>
    <font>
      <vertAlign val="subscript"/>
      <sz val="11"/>
      <name val="Calibri"/>
      <family val="2"/>
    </font>
    <font>
      <sz val="11"/>
      <name val="Symbol"/>
      <family val="1"/>
      <charset val="2"/>
    </font>
    <font>
      <b/>
      <vertAlign val="subscript"/>
      <sz val="11"/>
      <name val="Calibri"/>
      <family val="2"/>
    </font>
    <font>
      <b/>
      <sz val="11"/>
      <name val="Calibri"/>
      <family val="2"/>
      <scheme val="minor"/>
    </font>
    <font>
      <sz val="11"/>
      <color rgb="FFFF0000"/>
      <name val="Calibri"/>
      <family val="2"/>
    </font>
    <font>
      <b/>
      <sz val="18"/>
      <color theme="1"/>
      <name val="Calibri"/>
      <family val="2"/>
      <scheme val="minor"/>
    </font>
    <font>
      <b/>
      <sz val="9"/>
      <color indexed="81"/>
      <name val="Tahoma"/>
      <family val="2"/>
    </font>
    <font>
      <sz val="9"/>
      <color indexed="81"/>
      <name val="Tahoma"/>
      <family val="2"/>
    </font>
    <font>
      <b/>
      <sz val="18"/>
      <color indexed="8"/>
      <name val="Myriad Pro"/>
      <family val="2"/>
    </font>
    <font>
      <sz val="11"/>
      <color theme="1"/>
      <name val="Myriad Pro"/>
      <family val="2"/>
    </font>
    <font>
      <sz val="11"/>
      <color theme="0"/>
      <name val="Myriad Pro"/>
      <family val="2"/>
    </font>
    <font>
      <sz val="11"/>
      <name val="Myriad Web"/>
      <family val="2"/>
    </font>
    <font>
      <sz val="11"/>
      <name val="Myriad Pro"/>
      <family val="2"/>
    </font>
    <font>
      <vertAlign val="subscript"/>
      <sz val="11"/>
      <color theme="1"/>
      <name val="Calibri"/>
      <family val="2"/>
      <scheme val="minor"/>
    </font>
    <font>
      <b/>
      <vertAlign val="subscript"/>
      <sz val="18"/>
      <color indexed="8"/>
      <name val="Myriad Pro"/>
      <family val="2"/>
    </font>
    <font>
      <sz val="11"/>
      <color theme="1"/>
      <name val="Symbol"/>
      <family val="1"/>
      <charset val="2"/>
    </font>
    <font>
      <vertAlign val="subscript"/>
      <sz val="11"/>
      <name val="Calibri"/>
      <family val="2"/>
      <scheme val="minor"/>
    </font>
    <font>
      <sz val="11"/>
      <color theme="1"/>
      <name val="Calibri"/>
      <family val="1"/>
      <charset val="2"/>
      <scheme val="minor"/>
    </font>
    <font>
      <b/>
      <sz val="16"/>
      <color theme="1"/>
      <name val="Calibri"/>
      <family val="2"/>
      <scheme val="minor"/>
    </font>
    <font>
      <b/>
      <sz val="16"/>
      <name val="Calibri"/>
      <family val="2"/>
      <scheme val="minor"/>
    </font>
    <font>
      <sz val="14"/>
      <color theme="1"/>
      <name val="Calibri"/>
      <family val="2"/>
      <scheme val="minor"/>
    </font>
    <font>
      <b/>
      <sz val="14"/>
      <color theme="1"/>
      <name val="Calibri"/>
      <family val="2"/>
      <scheme val="minor"/>
    </font>
    <font>
      <sz val="14"/>
      <color rgb="FFFF0000"/>
      <name val="Calibri"/>
      <family val="2"/>
      <scheme val="minor"/>
    </font>
    <font>
      <sz val="10"/>
      <color theme="1"/>
      <name val="Calibri"/>
      <family val="2"/>
      <scheme val="minor"/>
    </font>
    <font>
      <sz val="11"/>
      <color theme="0"/>
      <name val="Calibri"/>
      <family val="2"/>
      <scheme val="minor"/>
    </font>
    <font>
      <b/>
      <sz val="26"/>
      <color theme="0"/>
      <name val="Calibri"/>
      <family val="2"/>
      <scheme val="minor"/>
    </font>
    <font>
      <b/>
      <sz val="16"/>
      <color theme="0"/>
      <name val="Calibri"/>
      <family val="2"/>
      <scheme val="minor"/>
    </font>
    <font>
      <sz val="16"/>
      <color theme="1"/>
      <name val="Calibri"/>
      <family val="2"/>
      <scheme val="minor"/>
    </font>
    <font>
      <sz val="16"/>
      <color rgb="FFFF0000"/>
      <name val="Calibri"/>
      <family val="2"/>
      <scheme val="minor"/>
    </font>
    <font>
      <sz val="10"/>
      <name val="Calibri"/>
      <family val="2"/>
      <scheme val="minor"/>
    </font>
    <font>
      <i/>
      <sz val="14"/>
      <color theme="1"/>
      <name val="Calibri"/>
      <family val="2"/>
      <scheme val="minor"/>
    </font>
    <font>
      <i/>
      <sz val="11"/>
      <color theme="1"/>
      <name val="Calibri"/>
      <family val="2"/>
      <scheme val="minor"/>
    </font>
    <font>
      <b/>
      <sz val="18"/>
      <color theme="9" tint="-0.249977111117893"/>
      <name val="Calibri"/>
      <family val="2"/>
      <scheme val="minor"/>
    </font>
    <font>
      <b/>
      <sz val="16"/>
      <color rgb="FFFF0000"/>
      <name val="Calibri"/>
      <family val="2"/>
      <scheme val="minor"/>
    </font>
    <font>
      <sz val="10"/>
      <color theme="1"/>
      <name val="Symbol"/>
      <family val="1"/>
      <charset val="2"/>
    </font>
    <font>
      <vertAlign val="subscript"/>
      <sz val="10"/>
      <color theme="1"/>
      <name val="Calibri"/>
      <family val="2"/>
      <scheme val="minor"/>
    </font>
    <font>
      <b/>
      <sz val="18"/>
      <color theme="0"/>
      <name val="Calibri"/>
      <family val="2"/>
      <scheme val="minor"/>
    </font>
    <font>
      <b/>
      <sz val="18"/>
      <name val="Calibri"/>
      <family val="2"/>
      <scheme val="minor"/>
    </font>
    <font>
      <b/>
      <sz val="10"/>
      <name val="Calibri"/>
      <family val="2"/>
      <scheme val="minor"/>
    </font>
    <font>
      <i/>
      <sz val="14"/>
      <color rgb="FFFF0000"/>
      <name val="Calibri"/>
      <family val="2"/>
      <scheme val="minor"/>
    </font>
    <font>
      <sz val="11"/>
      <color theme="1"/>
      <name val="Calibri"/>
      <family val="2"/>
    </font>
    <font>
      <b/>
      <sz val="11"/>
      <color theme="1"/>
      <name val="Calibri"/>
      <family val="2"/>
      <scheme val="minor"/>
    </font>
    <font>
      <sz val="8"/>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
      <sz val="12"/>
      <name val="Myriad Pro Light"/>
      <family val="2"/>
    </font>
    <font>
      <vertAlign val="subscript"/>
      <sz val="12"/>
      <name val="Myriad Pro Light"/>
      <family val="2"/>
    </font>
    <font>
      <vertAlign val="superscript"/>
      <sz val="12"/>
      <name val="Myriad Pro Light"/>
      <family val="2"/>
    </font>
    <font>
      <sz val="12"/>
      <name val="Myriad Pro Light"/>
      <family val="1"/>
      <charset val="2"/>
    </font>
    <font>
      <sz val="12"/>
      <name val="Symbol"/>
      <family val="1"/>
      <charset val="2"/>
    </font>
    <font>
      <b/>
      <vertAlign val="subscript"/>
      <sz val="11"/>
      <color theme="1"/>
      <name val="Calibri"/>
      <family val="2"/>
      <scheme val="minor"/>
    </font>
    <font>
      <b/>
      <sz val="11"/>
      <color theme="1"/>
      <name val="Symbol"/>
      <family val="1"/>
      <charset val="2"/>
    </font>
    <font>
      <b/>
      <sz val="14"/>
      <color rgb="FFFF0000"/>
      <name val="Calibri"/>
      <family val="2"/>
      <scheme val="minor"/>
    </font>
    <font>
      <sz val="10"/>
      <color theme="0" tint="-0.499984740745262"/>
      <name val="Calibri"/>
      <family val="2"/>
      <scheme val="minor"/>
    </font>
    <font>
      <u/>
      <sz val="11"/>
      <color theme="1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indexed="13"/>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249977111117893"/>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6">
    <xf numFmtId="0" fontId="0" fillId="0" borderId="0"/>
    <xf numFmtId="165" fontId="1" fillId="0" borderId="0" applyFont="0" applyFill="0" applyBorder="0" applyAlignment="0" applyProtection="0"/>
    <xf numFmtId="164" fontId="10"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70" fillId="0" borderId="0" applyNumberFormat="0" applyFill="0" applyBorder="0" applyAlignment="0" applyProtection="0"/>
  </cellStyleXfs>
  <cellXfs count="825">
    <xf numFmtId="0" fontId="0" fillId="0" borderId="0" xfId="0"/>
    <xf numFmtId="0" fontId="3" fillId="0" borderId="0" xfId="0" applyFont="1"/>
    <xf numFmtId="0" fontId="0" fillId="0" borderId="0" xfId="0" applyAlignment="1">
      <alignment horizontal="center"/>
    </xf>
    <xf numFmtId="0" fontId="0" fillId="0" borderId="1" xfId="0" applyBorder="1"/>
    <xf numFmtId="0" fontId="0" fillId="0" borderId="1" xfId="0"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0" fillId="0" borderId="6" xfId="0" applyBorder="1"/>
    <xf numFmtId="0" fontId="0" fillId="0" borderId="6" xfId="0" applyBorder="1" applyAlignment="1">
      <alignment horizontal="center"/>
    </xf>
    <xf numFmtId="0" fontId="6" fillId="0" borderId="6" xfId="0" applyFont="1" applyBorder="1" applyAlignment="1">
      <alignment horizontal="center"/>
    </xf>
    <xf numFmtId="166" fontId="0" fillId="0" borderId="7" xfId="0" applyNumberFormat="1" applyBorder="1" applyAlignment="1">
      <alignment horizontal="center"/>
    </xf>
    <xf numFmtId="167" fontId="6" fillId="0" borderId="2" xfId="2" applyNumberFormat="1" applyFont="1" applyBorder="1" applyAlignment="1">
      <alignment horizontal="center"/>
    </xf>
    <xf numFmtId="2" fontId="0" fillId="0" borderId="7" xfId="0" applyNumberFormat="1" applyBorder="1" applyAlignment="1">
      <alignment horizontal="center"/>
    </xf>
    <xf numFmtId="0" fontId="0" fillId="2" borderId="7" xfId="0" applyFill="1" applyBorder="1"/>
    <xf numFmtId="0" fontId="0" fillId="2" borderId="7" xfId="0" applyFill="1" applyBorder="1" applyAlignment="1">
      <alignment horizontal="center"/>
    </xf>
    <xf numFmtId="167" fontId="11" fillId="0" borderId="7" xfId="2" applyNumberFormat="1" applyFont="1" applyBorder="1" applyAlignment="1">
      <alignment horizontal="center"/>
    </xf>
    <xf numFmtId="2" fontId="6" fillId="0" borderId="7" xfId="2" applyNumberFormat="1" applyFont="1" applyBorder="1" applyAlignment="1">
      <alignment horizontal="center"/>
    </xf>
    <xf numFmtId="165" fontId="0" fillId="0" borderId="0" xfId="1" applyFont="1"/>
    <xf numFmtId="2" fontId="0" fillId="0" borderId="0" xfId="0" applyNumberFormat="1" applyAlignment="1">
      <alignment horizontal="center"/>
    </xf>
    <xf numFmtId="0" fontId="9" fillId="0" borderId="0" xfId="0" applyFont="1" applyAlignment="1">
      <alignment horizontal="right"/>
    </xf>
    <xf numFmtId="0" fontId="0" fillId="2" borderId="0" xfId="0" applyFill="1"/>
    <xf numFmtId="0" fontId="0" fillId="0" borderId="0" xfId="0" applyAlignment="1">
      <alignment horizontal="right"/>
    </xf>
    <xf numFmtId="0" fontId="0" fillId="3" borderId="10" xfId="0" applyFill="1" applyBorder="1"/>
    <xf numFmtId="0" fontId="0" fillId="3" borderId="12" xfId="0" applyFill="1" applyBorder="1"/>
    <xf numFmtId="0" fontId="0" fillId="3" borderId="0" xfId="0" applyFill="1" applyAlignment="1">
      <alignment horizontal="center"/>
    </xf>
    <xf numFmtId="0" fontId="0" fillId="3" borderId="0" xfId="0" applyFill="1"/>
    <xf numFmtId="0" fontId="0" fillId="3" borderId="13" xfId="0" applyFill="1" applyBorder="1" applyAlignment="1">
      <alignment horizontal="center"/>
    </xf>
    <xf numFmtId="2" fontId="0" fillId="3" borderId="0" xfId="0" applyNumberFormat="1" applyFill="1" applyAlignment="1">
      <alignment horizontal="center"/>
    </xf>
    <xf numFmtId="2" fontId="0" fillId="3" borderId="13" xfId="0" applyNumberFormat="1" applyFill="1" applyBorder="1" applyAlignment="1">
      <alignment horizontal="center"/>
    </xf>
    <xf numFmtId="0" fontId="0" fillId="0" borderId="2" xfId="0" applyBorder="1" applyAlignment="1">
      <alignment horizontal="center"/>
    </xf>
    <xf numFmtId="0" fontId="9" fillId="0" borderId="7" xfId="0" applyFont="1" applyBorder="1"/>
    <xf numFmtId="167" fontId="9" fillId="0" borderId="7" xfId="0" applyNumberFormat="1" applyFont="1" applyBorder="1" applyAlignment="1">
      <alignment horizontal="center"/>
    </xf>
    <xf numFmtId="0" fontId="9" fillId="0" borderId="7" xfId="0" applyFont="1" applyBorder="1" applyAlignment="1">
      <alignment horizontal="center"/>
    </xf>
    <xf numFmtId="2" fontId="12" fillId="0" borderId="7" xfId="0" applyNumberFormat="1" applyFont="1" applyBorder="1" applyAlignment="1">
      <alignment horizontal="center"/>
    </xf>
    <xf numFmtId="0" fontId="2" fillId="0" borderId="14" xfId="0" applyFont="1" applyBorder="1" applyAlignment="1">
      <alignment horizontal="center"/>
    </xf>
    <xf numFmtId="164" fontId="1" fillId="0" borderId="0" xfId="2" applyFont="1"/>
    <xf numFmtId="0" fontId="9" fillId="0" borderId="15" xfId="0" applyFont="1" applyBorder="1"/>
    <xf numFmtId="167" fontId="9" fillId="0" borderId="15" xfId="0" applyNumberFormat="1" applyFont="1" applyBorder="1" applyAlignment="1">
      <alignment horizontal="center"/>
    </xf>
    <xf numFmtId="0" fontId="9" fillId="0" borderId="15" xfId="0" applyFont="1" applyBorder="1" applyAlignment="1">
      <alignment horizontal="center"/>
    </xf>
    <xf numFmtId="2" fontId="12" fillId="0" borderId="15" xfId="0" applyNumberFormat="1" applyFont="1" applyBorder="1" applyAlignment="1">
      <alignment horizontal="center"/>
    </xf>
    <xf numFmtId="164" fontId="9" fillId="0" borderId="16" xfId="2" applyFont="1" applyFill="1" applyBorder="1" applyAlignment="1">
      <alignment horizontal="center"/>
    </xf>
    <xf numFmtId="0" fontId="0" fillId="0" borderId="7" xfId="0" applyBorder="1"/>
    <xf numFmtId="0" fontId="9" fillId="0" borderId="6" xfId="0" applyFont="1" applyBorder="1"/>
    <xf numFmtId="167" fontId="9" fillId="0" borderId="6" xfId="0" applyNumberFormat="1" applyFont="1" applyBorder="1" applyAlignment="1">
      <alignment horizontal="center"/>
    </xf>
    <xf numFmtId="0" fontId="9" fillId="0" borderId="6" xfId="0" applyFont="1" applyBorder="1" applyAlignment="1">
      <alignment horizontal="center"/>
    </xf>
    <xf numFmtId="2" fontId="12" fillId="0" borderId="6" xfId="0" applyNumberFormat="1" applyFont="1" applyBorder="1" applyAlignment="1">
      <alignment horizontal="center"/>
    </xf>
    <xf numFmtId="164" fontId="9" fillId="0" borderId="14" xfId="2" applyFont="1" applyFill="1" applyBorder="1" applyAlignment="1">
      <alignment horizontal="center"/>
    </xf>
    <xf numFmtId="164" fontId="9" fillId="0" borderId="0" xfId="2" applyFont="1" applyFill="1" applyBorder="1" applyAlignment="1">
      <alignment horizontal="center"/>
    </xf>
    <xf numFmtId="0" fontId="0" fillId="3" borderId="13" xfId="0" applyFill="1" applyBorder="1"/>
    <xf numFmtId="0" fontId="9" fillId="0" borderId="0" xfId="0" applyFont="1"/>
    <xf numFmtId="0" fontId="13" fillId="0" borderId="0" xfId="0" applyFont="1" applyAlignment="1">
      <alignment horizontal="left"/>
    </xf>
    <xf numFmtId="0" fontId="0" fillId="3" borderId="17" xfId="0" applyFill="1" applyBorder="1"/>
    <xf numFmtId="2" fontId="0" fillId="3" borderId="8" xfId="0" applyNumberFormat="1" applyFill="1" applyBorder="1" applyAlignment="1">
      <alignment horizontal="center"/>
    </xf>
    <xf numFmtId="0" fontId="0" fillId="3" borderId="8" xfId="0" applyFill="1" applyBorder="1"/>
    <xf numFmtId="2" fontId="0" fillId="3" borderId="18" xfId="0" applyNumberFormat="1" applyFill="1" applyBorder="1" applyAlignment="1">
      <alignment horizontal="center"/>
    </xf>
    <xf numFmtId="169" fontId="0" fillId="0" borderId="0" xfId="0" applyNumberFormat="1"/>
    <xf numFmtId="0" fontId="0" fillId="0" borderId="14" xfId="0" applyBorder="1" applyAlignment="1">
      <alignment horizontal="center"/>
    </xf>
    <xf numFmtId="1" fontId="9" fillId="0" borderId="7" xfId="0" applyNumberFormat="1" applyFont="1" applyBorder="1" applyAlignment="1">
      <alignment horizontal="center" vertical="center"/>
    </xf>
    <xf numFmtId="167" fontId="11" fillId="0" borderId="7" xfId="2" applyNumberFormat="1" applyFont="1" applyFill="1" applyBorder="1" applyAlignment="1">
      <alignment horizontal="center" vertical="center"/>
    </xf>
    <xf numFmtId="167" fontId="11" fillId="0" borderId="7" xfId="2" applyNumberFormat="1" applyFont="1" applyFill="1" applyBorder="1" applyAlignment="1">
      <alignment horizontal="center"/>
    </xf>
    <xf numFmtId="1" fontId="9" fillId="0" borderId="7" xfId="0" applyNumberFormat="1" applyFont="1" applyBorder="1" applyAlignment="1">
      <alignment horizontal="center"/>
    </xf>
    <xf numFmtId="0" fontId="9" fillId="0" borderId="7" xfId="0" applyFont="1" applyBorder="1" applyAlignment="1">
      <alignment horizontal="left" vertical="center" wrapText="1"/>
    </xf>
    <xf numFmtId="0" fontId="9" fillId="0" borderId="7" xfId="0" applyFont="1" applyBorder="1" applyAlignment="1">
      <alignment wrapText="1"/>
    </xf>
    <xf numFmtId="0" fontId="9" fillId="0" borderId="7" xfId="0" applyFont="1" applyBorder="1" applyAlignment="1">
      <alignment horizontal="center" vertical="center"/>
    </xf>
    <xf numFmtId="0" fontId="9" fillId="0" borderId="19" xfId="0" applyFont="1" applyBorder="1" applyAlignment="1">
      <alignment wrapText="1"/>
    </xf>
    <xf numFmtId="0" fontId="9" fillId="0" borderId="0" xfId="0" applyFont="1" applyAlignment="1">
      <alignment horizontal="center" vertical="center"/>
    </xf>
    <xf numFmtId="1" fontId="9" fillId="0" borderId="0" xfId="0" applyNumberFormat="1" applyFont="1" applyAlignment="1">
      <alignment horizontal="center" vertical="center"/>
    </xf>
    <xf numFmtId="167" fontId="11" fillId="0" borderId="0" xfId="2" applyNumberFormat="1" applyFont="1" applyFill="1" applyBorder="1" applyAlignment="1">
      <alignment horizontal="center" vertical="center"/>
    </xf>
    <xf numFmtId="0" fontId="9" fillId="0" borderId="0" xfId="0" applyFont="1" applyAlignment="1">
      <alignment wrapText="1"/>
    </xf>
    <xf numFmtId="170" fontId="11" fillId="0" borderId="0" xfId="2" applyNumberFormat="1" applyFont="1"/>
    <xf numFmtId="171" fontId="9" fillId="0" borderId="0" xfId="0" applyNumberFormat="1" applyFont="1"/>
    <xf numFmtId="171" fontId="0" fillId="0" borderId="0" xfId="0" applyNumberFormat="1"/>
    <xf numFmtId="0" fontId="0" fillId="0" borderId="1" xfId="0"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center" vertical="center"/>
    </xf>
    <xf numFmtId="2" fontId="11" fillId="0" borderId="7" xfId="2" applyNumberFormat="1" applyFont="1" applyFill="1" applyBorder="1" applyAlignment="1">
      <alignment horizontal="center" vertical="center"/>
    </xf>
    <xf numFmtId="2" fontId="12" fillId="0" borderId="7" xfId="2" applyNumberFormat="1" applyFont="1" applyFill="1" applyBorder="1" applyAlignment="1">
      <alignment horizontal="center" vertical="center"/>
    </xf>
    <xf numFmtId="167" fontId="12" fillId="0" borderId="2" xfId="2" applyNumberFormat="1" applyFont="1" applyFill="1" applyBorder="1" applyAlignment="1">
      <alignment horizontal="center"/>
    </xf>
    <xf numFmtId="2" fontId="0" fillId="0" borderId="7" xfId="0" applyNumberFormat="1" applyBorder="1" applyAlignment="1">
      <alignment horizontal="center" vertical="center"/>
    </xf>
    <xf numFmtId="167" fontId="12" fillId="0" borderId="2" xfId="2" applyNumberFormat="1" applyFont="1" applyFill="1" applyBorder="1" applyAlignment="1">
      <alignment horizontal="center" vertical="center"/>
    </xf>
    <xf numFmtId="0" fontId="0" fillId="0" borderId="19" xfId="0" applyBorder="1"/>
    <xf numFmtId="0" fontId="9" fillId="4" borderId="1" xfId="0" applyFont="1" applyFill="1" applyBorder="1" applyAlignment="1">
      <alignment horizontal="center"/>
    </xf>
    <xf numFmtId="0" fontId="9" fillId="4" borderId="6" xfId="0" applyFont="1" applyFill="1" applyBorder="1" applyAlignment="1">
      <alignment horizontal="center"/>
    </xf>
    <xf numFmtId="0" fontId="9" fillId="4" borderId="14" xfId="0" applyFont="1" applyFill="1" applyBorder="1" applyAlignment="1">
      <alignment horizontal="center"/>
    </xf>
    <xf numFmtId="172" fontId="0" fillId="0" borderId="7" xfId="0" applyNumberFormat="1" applyBorder="1" applyAlignment="1">
      <alignment horizontal="center"/>
    </xf>
    <xf numFmtId="2" fontId="12" fillId="0" borderId="7" xfId="2" applyNumberFormat="1" applyFont="1" applyBorder="1" applyAlignment="1">
      <alignment horizontal="center"/>
    </xf>
    <xf numFmtId="167" fontId="12" fillId="0" borderId="2" xfId="2" applyNumberFormat="1" applyFont="1" applyBorder="1" applyAlignment="1">
      <alignment horizontal="center"/>
    </xf>
    <xf numFmtId="167" fontId="12" fillId="0" borderId="0" xfId="2" applyNumberFormat="1" applyFont="1" applyBorder="1" applyAlignment="1">
      <alignment horizontal="center"/>
    </xf>
    <xf numFmtId="167" fontId="10" fillId="0" borderId="19" xfId="2" applyNumberFormat="1" applyFont="1" applyBorder="1" applyAlignment="1">
      <alignment horizontal="center"/>
    </xf>
    <xf numFmtId="167" fontId="10" fillId="0" borderId="0" xfId="2" applyNumberFormat="1" applyFont="1" applyBorder="1" applyAlignment="1">
      <alignment horizontal="center"/>
    </xf>
    <xf numFmtId="170" fontId="11" fillId="0" borderId="0" xfId="2" applyNumberFormat="1" applyFont="1" applyFill="1"/>
    <xf numFmtId="167" fontId="0" fillId="0" borderId="0" xfId="0" applyNumberFormat="1"/>
    <xf numFmtId="172" fontId="0" fillId="0" borderId="6" xfId="0" applyNumberFormat="1" applyBorder="1" applyAlignment="1">
      <alignment horizontal="center"/>
    </xf>
    <xf numFmtId="2" fontId="11" fillId="0" borderId="7" xfId="2" applyNumberFormat="1" applyFont="1" applyFill="1" applyBorder="1" applyAlignment="1">
      <alignment horizontal="center"/>
    </xf>
    <xf numFmtId="167" fontId="12" fillId="0" borderId="7" xfId="2" applyNumberFormat="1" applyFont="1" applyFill="1" applyBorder="1" applyAlignment="1">
      <alignment horizontal="center"/>
    </xf>
    <xf numFmtId="1" fontId="1" fillId="0" borderId="0" xfId="2" applyNumberFormat="1" applyFont="1" applyAlignment="1">
      <alignment horizontal="center"/>
    </xf>
    <xf numFmtId="0" fontId="0" fillId="3" borderId="12" xfId="0" applyFill="1" applyBorder="1" applyAlignment="1">
      <alignment horizontal="center"/>
    </xf>
    <xf numFmtId="0" fontId="9" fillId="0" borderId="19" xfId="0" applyFont="1" applyBorder="1"/>
    <xf numFmtId="0" fontId="9" fillId="0" borderId="1" xfId="0" applyFont="1" applyBorder="1"/>
    <xf numFmtId="0" fontId="9" fillId="0" borderId="1" xfId="0" applyFont="1" applyBorder="1" applyAlignment="1">
      <alignment horizontal="center"/>
    </xf>
    <xf numFmtId="164" fontId="11" fillId="0" borderId="7" xfId="2" applyFont="1" applyBorder="1" applyAlignment="1">
      <alignment horizontal="center"/>
    </xf>
    <xf numFmtId="167" fontId="6" fillId="0" borderId="0" xfId="2" applyNumberFormat="1" applyFont="1" applyBorder="1" applyAlignment="1">
      <alignment horizontal="center"/>
    </xf>
    <xf numFmtId="2" fontId="0" fillId="0" borderId="0" xfId="0" applyNumberFormat="1" applyAlignment="1">
      <alignment horizontal="center" vertical="center"/>
    </xf>
    <xf numFmtId="164" fontId="1" fillId="0" borderId="0" xfId="2" applyFont="1" applyBorder="1" applyAlignment="1">
      <alignment horizontal="center"/>
    </xf>
    <xf numFmtId="1" fontId="0" fillId="0" borderId="0" xfId="0" applyNumberFormat="1" applyAlignment="1">
      <alignment horizontal="center"/>
    </xf>
    <xf numFmtId="0" fontId="9" fillId="0" borderId="0" xfId="0" applyFont="1" applyAlignment="1">
      <alignment horizontal="center"/>
    </xf>
    <xf numFmtId="1" fontId="9" fillId="0" borderId="0" xfId="0" applyNumberFormat="1" applyFont="1" applyAlignment="1">
      <alignment horizontal="center"/>
    </xf>
    <xf numFmtId="167" fontId="11" fillId="0" borderId="0" xfId="2" applyNumberFormat="1" applyFont="1" applyFill="1" applyBorder="1" applyAlignment="1">
      <alignment horizontal="center"/>
    </xf>
    <xf numFmtId="0" fontId="9" fillId="0" borderId="14" xfId="0" applyFont="1" applyBorder="1" applyAlignment="1">
      <alignment horizontal="center"/>
    </xf>
    <xf numFmtId="0" fontId="9" fillId="0" borderId="1" xfId="0" applyFont="1" applyBorder="1" applyAlignment="1">
      <alignment horizontal="center" vertical="center"/>
    </xf>
    <xf numFmtId="0" fontId="12" fillId="0" borderId="1"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12" fillId="0" borderId="6" xfId="0" applyFont="1" applyBorder="1" applyAlignment="1">
      <alignment horizontal="center" vertical="center"/>
    </xf>
    <xf numFmtId="0" fontId="0" fillId="3" borderId="10" xfId="0" applyFill="1" applyBorder="1" applyAlignment="1">
      <alignment horizontal="center"/>
    </xf>
    <xf numFmtId="0" fontId="0" fillId="3" borderId="11" xfId="0" applyFill="1" applyBorder="1" applyAlignment="1">
      <alignment horizontal="center"/>
    </xf>
    <xf numFmtId="164" fontId="11" fillId="0" borderId="7" xfId="2" applyFont="1" applyFill="1" applyBorder="1" applyAlignment="1">
      <alignment horizontal="center"/>
    </xf>
    <xf numFmtId="2" fontId="12" fillId="0" borderId="7" xfId="2" applyNumberFormat="1" applyFont="1" applyFill="1" applyBorder="1" applyAlignment="1">
      <alignment horizontal="center"/>
    </xf>
    <xf numFmtId="2" fontId="10" fillId="0" borderId="0" xfId="2" applyNumberFormat="1" applyFont="1" applyBorder="1" applyAlignment="1">
      <alignment horizontal="center"/>
    </xf>
    <xf numFmtId="1" fontId="9" fillId="5" borderId="7" xfId="0" applyNumberFormat="1" applyFont="1" applyFill="1" applyBorder="1" applyAlignment="1">
      <alignment horizontal="center" vertical="center"/>
    </xf>
    <xf numFmtId="167" fontId="11" fillId="0" borderId="7" xfId="2" applyNumberFormat="1" applyFont="1" applyBorder="1" applyAlignment="1">
      <alignment horizontal="center" vertical="center"/>
    </xf>
    <xf numFmtId="0" fontId="17" fillId="0" borderId="7" xfId="0" applyFont="1" applyBorder="1" applyAlignment="1">
      <alignment horizontal="center" vertical="center"/>
    </xf>
    <xf numFmtId="1" fontId="17" fillId="0" borderId="7" xfId="0" applyNumberFormat="1" applyFont="1" applyBorder="1" applyAlignment="1">
      <alignment horizontal="center" vertical="center"/>
    </xf>
    <xf numFmtId="167" fontId="12" fillId="0" borderId="7" xfId="2"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2" fontId="17" fillId="0" borderId="7" xfId="0" applyNumberFormat="1" applyFont="1" applyBorder="1" applyAlignment="1">
      <alignment horizontal="center" vertical="center"/>
    </xf>
    <xf numFmtId="0" fontId="0" fillId="0" borderId="2" xfId="0" applyBorder="1"/>
    <xf numFmtId="0" fontId="6" fillId="0" borderId="20" xfId="0" applyFont="1" applyBorder="1" applyAlignment="1">
      <alignment horizontal="center" vertical="center"/>
    </xf>
    <xf numFmtId="0" fontId="6" fillId="0" borderId="21" xfId="0" applyFont="1" applyBorder="1" applyAlignment="1">
      <alignment horizontal="center" vertical="center"/>
    </xf>
    <xf numFmtId="2" fontId="12" fillId="0" borderId="3" xfId="2" applyNumberFormat="1" applyFont="1" applyFill="1" applyBorder="1" applyAlignment="1">
      <alignment horizontal="center" vertical="center"/>
    </xf>
    <xf numFmtId="167" fontId="6" fillId="0" borderId="2" xfId="2" applyNumberFormat="1" applyFont="1" applyBorder="1" applyAlignment="1">
      <alignment horizontal="center" vertical="center"/>
    </xf>
    <xf numFmtId="0" fontId="0" fillId="0" borderId="0" xfId="0" applyAlignment="1">
      <alignment horizontal="right" wrapText="1"/>
    </xf>
    <xf numFmtId="167" fontId="10" fillId="0" borderId="1" xfId="2" applyNumberFormat="1" applyFont="1" applyBorder="1" applyAlignment="1">
      <alignment horizontal="center"/>
    </xf>
    <xf numFmtId="167" fontId="10" fillId="0" borderId="6" xfId="2" applyNumberFormat="1" applyFont="1" applyBorder="1" applyAlignment="1">
      <alignment horizontal="center" vertical="center"/>
    </xf>
    <xf numFmtId="167" fontId="10" fillId="5" borderId="7" xfId="2" applyNumberFormat="1" applyFont="1" applyFill="1" applyBorder="1" applyAlignment="1">
      <alignment horizontal="center"/>
    </xf>
    <xf numFmtId="167" fontId="10" fillId="0" borderId="7" xfId="2" applyNumberFormat="1" applyFont="1" applyBorder="1" applyAlignment="1">
      <alignment horizontal="center"/>
    </xf>
    <xf numFmtId="167" fontId="11" fillId="5" borderId="7" xfId="2" applyNumberFormat="1" applyFont="1" applyFill="1" applyBorder="1" applyAlignment="1">
      <alignment horizontal="center"/>
    </xf>
    <xf numFmtId="2" fontId="9" fillId="0" borderId="7" xfId="0" applyNumberFormat="1" applyFont="1" applyBorder="1" applyAlignment="1">
      <alignment horizontal="center"/>
    </xf>
    <xf numFmtId="0" fontId="9" fillId="6" borderId="0" xfId="0" applyFont="1" applyFill="1" applyAlignment="1">
      <alignment horizontal="center" vertical="center" wrapText="1"/>
    </xf>
    <xf numFmtId="0" fontId="0" fillId="0" borderId="0" xfId="0" applyAlignment="1">
      <alignment wrapText="1"/>
    </xf>
    <xf numFmtId="0" fontId="0" fillId="0" borderId="2" xfId="0" applyBorder="1" applyAlignment="1">
      <alignment vertical="center"/>
    </xf>
    <xf numFmtId="0" fontId="0" fillId="0" borderId="7" xfId="0" applyBorder="1" applyAlignment="1">
      <alignment horizontal="center" wrapText="1"/>
    </xf>
    <xf numFmtId="1" fontId="1" fillId="0" borderId="7" xfId="2" applyNumberFormat="1" applyFont="1" applyBorder="1" applyAlignment="1">
      <alignment horizontal="center"/>
    </xf>
    <xf numFmtId="167" fontId="10" fillId="0" borderId="0" xfId="2" applyNumberFormat="1" applyFont="1" applyBorder="1" applyAlignment="1">
      <alignment horizontal="left"/>
    </xf>
    <xf numFmtId="0" fontId="0" fillId="4" borderId="0" xfId="0" applyFill="1"/>
    <xf numFmtId="0" fontId="10" fillId="0" borderId="1" xfId="0" applyFont="1" applyBorder="1" applyAlignment="1">
      <alignment horizontal="center" vertical="center"/>
    </xf>
    <xf numFmtId="0" fontId="10" fillId="0" borderId="14" xfId="0" applyFont="1" applyBorder="1" applyAlignment="1">
      <alignment horizontal="center" vertical="center"/>
    </xf>
    <xf numFmtId="173" fontId="0" fillId="0" borderId="7" xfId="0" applyNumberFormat="1" applyBorder="1" applyAlignment="1">
      <alignment horizontal="center"/>
    </xf>
    <xf numFmtId="167" fontId="0" fillId="0" borderId="7" xfId="0" applyNumberFormat="1" applyBorder="1" applyAlignment="1">
      <alignment horizontal="center"/>
    </xf>
    <xf numFmtId="174" fontId="1" fillId="0" borderId="7" xfId="2" applyNumberFormat="1" applyFont="1" applyBorder="1"/>
    <xf numFmtId="175" fontId="0" fillId="0" borderId="7" xfId="0" applyNumberFormat="1" applyBorder="1"/>
    <xf numFmtId="176" fontId="0" fillId="0" borderId="7" xfId="0" applyNumberFormat="1" applyBorder="1"/>
    <xf numFmtId="167" fontId="0" fillId="0" borderId="0" xfId="0" applyNumberFormat="1" applyAlignment="1">
      <alignment horizontal="center"/>
    </xf>
    <xf numFmtId="174" fontId="1" fillId="0" borderId="0" xfId="2" applyNumberFormat="1" applyFont="1" applyBorder="1"/>
    <xf numFmtId="175" fontId="0" fillId="0" borderId="0" xfId="0" applyNumberFormat="1"/>
    <xf numFmtId="176" fontId="0" fillId="0" borderId="0" xfId="0" applyNumberFormat="1"/>
    <xf numFmtId="177" fontId="1" fillId="0" borderId="0" xfId="2" applyNumberFormat="1" applyFont="1" applyBorder="1" applyAlignment="1">
      <alignment horizontal="center"/>
    </xf>
    <xf numFmtId="0" fontId="19" fillId="0" borderId="0" xfId="0" applyFont="1"/>
    <xf numFmtId="0" fontId="0" fillId="0" borderId="7" xfId="0" applyBorder="1" applyAlignment="1">
      <alignment horizontal="center"/>
    </xf>
    <xf numFmtId="177" fontId="1" fillId="0" borderId="7" xfId="2" applyNumberFormat="1"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 fontId="0" fillId="0" borderId="2" xfId="0" applyNumberFormat="1" applyBorder="1" applyAlignment="1">
      <alignment horizontal="center"/>
    </xf>
    <xf numFmtId="0" fontId="2" fillId="0" borderId="0" xfId="0" applyFont="1"/>
    <xf numFmtId="1" fontId="9" fillId="0" borderId="0" xfId="2" applyNumberFormat="1" applyFont="1" applyFill="1" applyAlignment="1">
      <alignment horizontal="center"/>
    </xf>
    <xf numFmtId="168" fontId="11" fillId="0" borderId="7" xfId="2" applyNumberFormat="1" applyFont="1" applyFill="1" applyBorder="1" applyAlignment="1">
      <alignment horizontal="center"/>
    </xf>
    <xf numFmtId="0" fontId="0" fillId="3" borderId="26" xfId="0" applyFill="1" applyBorder="1"/>
    <xf numFmtId="0" fontId="0" fillId="3" borderId="11" xfId="0" applyFill="1" applyBorder="1"/>
    <xf numFmtId="0" fontId="0" fillId="3" borderId="9" xfId="0" applyFill="1" applyBorder="1"/>
    <xf numFmtId="0" fontId="0" fillId="0" borderId="27" xfId="0" applyBorder="1"/>
    <xf numFmtId="0" fontId="0" fillId="0" borderId="4" xfId="0" applyBorder="1"/>
    <xf numFmtId="0" fontId="0" fillId="0" borderId="5" xfId="0" applyBorder="1"/>
    <xf numFmtId="0" fontId="0" fillId="0" borderId="5" xfId="0" applyBorder="1" applyAlignment="1">
      <alignment horizontal="center"/>
    </xf>
    <xf numFmtId="2" fontId="12" fillId="2" borderId="7" xfId="2" applyNumberFormat="1" applyFont="1" applyFill="1" applyBorder="1" applyAlignment="1">
      <alignment horizontal="center"/>
    </xf>
    <xf numFmtId="164" fontId="12" fillId="0" borderId="7" xfId="2" applyFont="1" applyBorder="1" applyAlignment="1">
      <alignment horizontal="center"/>
    </xf>
    <xf numFmtId="164" fontId="1" fillId="3" borderId="12" xfId="2" applyFont="1" applyFill="1" applyBorder="1" applyAlignment="1">
      <alignment horizontal="center"/>
    </xf>
    <xf numFmtId="164" fontId="1" fillId="3" borderId="0" xfId="2" applyFont="1" applyFill="1" applyBorder="1" applyAlignment="1">
      <alignment horizontal="center"/>
    </xf>
    <xf numFmtId="164" fontId="1" fillId="3" borderId="13" xfId="2" applyFont="1" applyFill="1" applyBorder="1" applyAlignment="1">
      <alignment horizontal="center"/>
    </xf>
    <xf numFmtId="2" fontId="0" fillId="0" borderId="5" xfId="0" applyNumberFormat="1" applyBorder="1" applyAlignment="1">
      <alignment horizontal="center" vertical="center"/>
    </xf>
    <xf numFmtId="0" fontId="0" fillId="0" borderId="15" xfId="0" applyBorder="1"/>
    <xf numFmtId="167" fontId="11" fillId="0" borderId="15" xfId="2" applyNumberFormat="1" applyFont="1" applyBorder="1" applyAlignment="1">
      <alignment horizontal="center"/>
    </xf>
    <xf numFmtId="2" fontId="12" fillId="2" borderId="15" xfId="2" applyNumberFormat="1" applyFont="1" applyFill="1" applyBorder="1" applyAlignment="1">
      <alignment horizontal="center"/>
    </xf>
    <xf numFmtId="164" fontId="12" fillId="0" borderId="15" xfId="2" applyFont="1" applyBorder="1" applyAlignment="1">
      <alignment horizontal="center"/>
    </xf>
    <xf numFmtId="167" fontId="11" fillId="0" borderId="6" xfId="2" applyNumberFormat="1" applyFont="1" applyBorder="1" applyAlignment="1">
      <alignment horizontal="center"/>
    </xf>
    <xf numFmtId="2" fontId="12" fillId="2" borderId="6" xfId="2" applyNumberFormat="1" applyFont="1" applyFill="1" applyBorder="1" applyAlignment="1">
      <alignment horizontal="center"/>
    </xf>
    <xf numFmtId="164" fontId="12" fillId="0" borderId="6" xfId="2" applyFont="1" applyBorder="1" applyAlignment="1">
      <alignment horizontal="center"/>
    </xf>
    <xf numFmtId="2" fontId="12" fillId="0" borderId="6" xfId="2" applyNumberFormat="1" applyFont="1" applyBorder="1" applyAlignment="1">
      <alignment horizontal="center"/>
    </xf>
    <xf numFmtId="0" fontId="0" fillId="0" borderId="0" xfId="0" applyAlignment="1">
      <alignment horizontal="center" vertical="center"/>
    </xf>
    <xf numFmtId="164" fontId="1" fillId="3" borderId="17" xfId="2" applyFont="1" applyFill="1" applyBorder="1" applyAlignment="1">
      <alignment horizontal="center"/>
    </xf>
    <xf numFmtId="164" fontId="1" fillId="3" borderId="8" xfId="2" applyFont="1" applyFill="1" applyBorder="1" applyAlignment="1">
      <alignment horizontal="center"/>
    </xf>
    <xf numFmtId="164" fontId="1" fillId="3" borderId="18" xfId="2" applyFont="1" applyFill="1" applyBorder="1" applyAlignment="1">
      <alignment horizontal="center"/>
    </xf>
    <xf numFmtId="0" fontId="0" fillId="2" borderId="0" xfId="0" applyFill="1" applyAlignment="1">
      <alignment horizontal="center"/>
    </xf>
    <xf numFmtId="167" fontId="10" fillId="0" borderId="0" xfId="3" applyNumberFormat="1" applyFont="1" applyBorder="1" applyAlignment="1">
      <alignment horizontal="center"/>
    </xf>
    <xf numFmtId="0" fontId="0" fillId="0" borderId="0" xfId="0" quotePrefix="1"/>
    <xf numFmtId="0" fontId="22" fillId="0" borderId="0" xfId="0" applyFont="1"/>
    <xf numFmtId="0" fontId="23" fillId="0" borderId="0" xfId="0" applyFont="1"/>
    <xf numFmtId="0" fontId="24" fillId="0" borderId="0" xfId="0" applyFont="1"/>
    <xf numFmtId="0" fontId="24" fillId="0" borderId="0" xfId="0" applyFont="1" applyAlignment="1">
      <alignment horizontal="left"/>
    </xf>
    <xf numFmtId="0" fontId="24" fillId="0" borderId="0" xfId="0" applyFont="1" applyAlignment="1">
      <alignment horizontal="center"/>
    </xf>
    <xf numFmtId="0" fontId="24" fillId="0" borderId="0" xfId="0" applyFont="1" applyAlignment="1">
      <alignment vertical="center" wrapText="1"/>
    </xf>
    <xf numFmtId="178" fontId="24" fillId="0" borderId="0" xfId="0" applyNumberFormat="1" applyFont="1" applyAlignment="1">
      <alignment horizontal="center"/>
    </xf>
    <xf numFmtId="0" fontId="23" fillId="0" borderId="0" xfId="0" applyFont="1" applyAlignment="1">
      <alignment vertical="center" wrapText="1"/>
    </xf>
    <xf numFmtId="1" fontId="25" fillId="0" borderId="0" xfId="3" applyNumberFormat="1" applyFont="1" applyFill="1" applyBorder="1" applyAlignment="1">
      <alignment horizontal="center"/>
    </xf>
    <xf numFmtId="0" fontId="26" fillId="0" borderId="0" xfId="0" applyFont="1" applyAlignment="1">
      <alignment vertical="center"/>
    </xf>
    <xf numFmtId="2" fontId="23" fillId="0" borderId="0" xfId="0" applyNumberFormat="1" applyFont="1" applyAlignment="1">
      <alignment horizontal="center"/>
    </xf>
    <xf numFmtId="2" fontId="1" fillId="0" borderId="0" xfId="3" applyNumberFormat="1" applyFont="1" applyFill="1" applyBorder="1" applyAlignment="1">
      <alignment horizontal="center" vertical="center"/>
    </xf>
    <xf numFmtId="2" fontId="1" fillId="0" borderId="0" xfId="3" applyNumberFormat="1" applyFont="1" applyFill="1" applyBorder="1" applyAlignment="1">
      <alignment vertical="center"/>
    </xf>
    <xf numFmtId="2" fontId="23" fillId="0" borderId="0" xfId="0" applyNumberFormat="1" applyFont="1" applyAlignment="1">
      <alignment vertical="center"/>
    </xf>
    <xf numFmtId="170" fontId="11" fillId="0" borderId="0" xfId="3" applyNumberFormat="1" applyFont="1"/>
    <xf numFmtId="167" fontId="9" fillId="0" borderId="7" xfId="0" applyNumberFormat="1" applyFont="1" applyBorder="1" applyAlignment="1">
      <alignment horizontal="center" vertical="center"/>
    </xf>
    <xf numFmtId="1" fontId="9" fillId="4" borderId="7" xfId="0" applyNumberFormat="1" applyFont="1" applyFill="1" applyBorder="1" applyAlignment="1">
      <alignment horizontal="center" vertical="center"/>
    </xf>
    <xf numFmtId="167" fontId="12" fillId="0" borderId="7" xfId="3" applyNumberFormat="1" applyFont="1" applyFill="1" applyBorder="1" applyAlignment="1">
      <alignment horizontal="center" vertical="center"/>
    </xf>
    <xf numFmtId="2" fontId="9" fillId="0" borderId="7" xfId="0" applyNumberFormat="1" applyFont="1" applyBorder="1" applyAlignment="1">
      <alignment horizontal="center" vertical="center"/>
    </xf>
    <xf numFmtId="165" fontId="0" fillId="2" borderId="7" xfId="1" applyFont="1" applyFill="1" applyBorder="1"/>
    <xf numFmtId="167" fontId="10" fillId="0" borderId="0" xfId="3" applyNumberFormat="1" applyFont="1" applyFill="1" applyBorder="1" applyAlignment="1">
      <alignment horizontal="center"/>
    </xf>
    <xf numFmtId="167" fontId="9" fillId="0" borderId="0" xfId="0" applyNumberFormat="1" applyFont="1" applyAlignment="1">
      <alignment horizontal="center"/>
    </xf>
    <xf numFmtId="167" fontId="11" fillId="0" borderId="0" xfId="3" applyNumberFormat="1" applyFont="1" applyFill="1" applyBorder="1" applyAlignment="1">
      <alignment horizontal="center"/>
    </xf>
    <xf numFmtId="167" fontId="11" fillId="0" borderId="3" xfId="3" applyNumberFormat="1" applyFont="1" applyFill="1" applyBorder="1" applyAlignment="1">
      <alignment horizontal="center" vertical="center"/>
    </xf>
    <xf numFmtId="167" fontId="11" fillId="0" borderId="7" xfId="3" applyNumberFormat="1" applyFont="1" applyFill="1" applyBorder="1" applyAlignment="1">
      <alignment horizontal="center" vertical="center"/>
    </xf>
    <xf numFmtId="167" fontId="9" fillId="0" borderId="0" xfId="0" applyNumberFormat="1" applyFont="1" applyAlignment="1">
      <alignment horizontal="center" vertical="center"/>
    </xf>
    <xf numFmtId="167" fontId="11" fillId="0" borderId="0" xfId="3" applyNumberFormat="1" applyFont="1" applyFill="1" applyBorder="1" applyAlignment="1">
      <alignment horizontal="center" vertical="center"/>
    </xf>
    <xf numFmtId="0" fontId="0" fillId="0" borderId="7" xfId="0" applyBorder="1" applyAlignment="1">
      <alignment vertical="top" wrapText="1"/>
    </xf>
    <xf numFmtId="165" fontId="9" fillId="0" borderId="7" xfId="3" applyFont="1" applyFill="1" applyBorder="1" applyAlignment="1">
      <alignment horizontal="center" vertical="center"/>
    </xf>
    <xf numFmtId="0" fontId="9" fillId="0" borderId="7" xfId="0" applyFont="1" applyBorder="1" applyAlignment="1">
      <alignment vertical="center" wrapText="1"/>
    </xf>
    <xf numFmtId="9" fontId="11" fillId="0" borderId="2" xfId="4" applyFont="1" applyFill="1" applyBorder="1" applyAlignment="1">
      <alignment horizontal="center"/>
    </xf>
    <xf numFmtId="9" fontId="11" fillId="0" borderId="0" xfId="4" applyFont="1" applyFill="1" applyBorder="1" applyAlignment="1">
      <alignment horizontal="center"/>
    </xf>
    <xf numFmtId="0" fontId="6" fillId="0" borderId="0" xfId="0" applyFont="1" applyAlignment="1">
      <alignment horizontal="center"/>
    </xf>
    <xf numFmtId="167" fontId="11" fillId="6" borderId="7" xfId="2" applyNumberFormat="1" applyFont="1" applyFill="1" applyBorder="1" applyAlignment="1">
      <alignment horizontal="center"/>
    </xf>
    <xf numFmtId="0" fontId="0" fillId="0" borderId="23" xfId="0" applyBorder="1"/>
    <xf numFmtId="0" fontId="0" fillId="0" borderId="19" xfId="0" applyBorder="1" applyAlignment="1">
      <alignment horizontal="right"/>
    </xf>
    <xf numFmtId="167" fontId="11" fillId="2" borderId="7" xfId="2" applyNumberFormat="1" applyFont="1" applyFill="1" applyBorder="1" applyAlignment="1">
      <alignment horizontal="center"/>
    </xf>
    <xf numFmtId="0" fontId="9" fillId="2" borderId="0" xfId="0" applyFont="1" applyFill="1"/>
    <xf numFmtId="2" fontId="0" fillId="0" borderId="28" xfId="0" applyNumberFormat="1" applyBorder="1" applyAlignment="1">
      <alignment horizontal="center" vertical="center"/>
    </xf>
    <xf numFmtId="2" fontId="0" fillId="0" borderId="6" xfId="0" applyNumberFormat="1" applyBorder="1" applyAlignment="1">
      <alignment horizontal="center" vertical="center"/>
    </xf>
    <xf numFmtId="1" fontId="9" fillId="0" borderId="19" xfId="0" applyNumberFormat="1" applyFont="1" applyBorder="1" applyAlignment="1">
      <alignment horizontal="center"/>
    </xf>
    <xf numFmtId="167" fontId="11" fillId="0" borderId="19" xfId="2" applyNumberFormat="1" applyFont="1" applyFill="1" applyBorder="1" applyAlignment="1">
      <alignment horizontal="center"/>
    </xf>
    <xf numFmtId="165" fontId="9" fillId="0" borderId="7" xfId="1" applyFont="1" applyFill="1" applyBorder="1" applyAlignment="1">
      <alignment horizontal="center"/>
    </xf>
    <xf numFmtId="1" fontId="9" fillId="0" borderId="2" xfId="0" applyNumberFormat="1" applyFont="1" applyBorder="1" applyAlignment="1">
      <alignment horizontal="center"/>
    </xf>
    <xf numFmtId="164" fontId="1" fillId="0" borderId="0" xfId="2" applyFont="1" applyFill="1" applyBorder="1" applyAlignment="1">
      <alignment horizontal="center"/>
    </xf>
    <xf numFmtId="168" fontId="0" fillId="0" borderId="0" xfId="0" applyNumberFormat="1" applyAlignment="1">
      <alignment horizontal="right"/>
    </xf>
    <xf numFmtId="167" fontId="11" fillId="2" borderId="0" xfId="2" applyNumberFormat="1" applyFont="1" applyFill="1" applyBorder="1" applyAlignment="1">
      <alignment horizontal="center" vertical="center"/>
    </xf>
    <xf numFmtId="167" fontId="9" fillId="0" borderId="19" xfId="0" applyNumberFormat="1" applyFont="1" applyBorder="1" applyAlignment="1">
      <alignment horizontal="center"/>
    </xf>
    <xf numFmtId="0" fontId="0" fillId="0" borderId="24" xfId="0" applyBorder="1"/>
    <xf numFmtId="0" fontId="9" fillId="0" borderId="24" xfId="0" applyFont="1" applyBorder="1"/>
    <xf numFmtId="167" fontId="11" fillId="2" borderId="19" xfId="2" applyNumberFormat="1" applyFont="1" applyFill="1" applyBorder="1" applyAlignment="1">
      <alignment horizontal="center"/>
    </xf>
    <xf numFmtId="165" fontId="11" fillId="0" borderId="7" xfId="1" applyFont="1" applyBorder="1" applyAlignment="1">
      <alignment horizontal="center" vertical="center"/>
    </xf>
    <xf numFmtId="2" fontId="11" fillId="0" borderId="7" xfId="2" applyNumberFormat="1" applyFont="1" applyBorder="1" applyAlignment="1">
      <alignment horizontal="center" vertical="center"/>
    </xf>
    <xf numFmtId="2" fontId="6" fillId="0" borderId="7" xfId="2" applyNumberFormat="1" applyFont="1" applyBorder="1" applyAlignment="1">
      <alignment horizontal="center" vertical="center" wrapText="1"/>
    </xf>
    <xf numFmtId="167" fontId="6" fillId="0" borderId="7" xfId="2" applyNumberFormat="1" applyFont="1" applyBorder="1" applyAlignment="1">
      <alignment horizontal="center" vertical="center"/>
    </xf>
    <xf numFmtId="167" fontId="11" fillId="4" borderId="7" xfId="2" applyNumberFormat="1" applyFont="1" applyFill="1" applyBorder="1" applyAlignment="1">
      <alignment horizontal="center" vertical="center"/>
    </xf>
    <xf numFmtId="167" fontId="11" fillId="2" borderId="0" xfId="2" applyNumberFormat="1" applyFont="1" applyFill="1" applyBorder="1" applyAlignment="1">
      <alignment horizontal="center"/>
    </xf>
    <xf numFmtId="164" fontId="12" fillId="0" borderId="7" xfId="2" applyFont="1" applyFill="1" applyBorder="1" applyAlignment="1">
      <alignment horizontal="center" vertical="center"/>
    </xf>
    <xf numFmtId="167" fontId="9" fillId="4" borderId="7" xfId="0" applyNumberFormat="1" applyFont="1" applyFill="1" applyBorder="1" applyAlignment="1">
      <alignment horizontal="center" vertical="center"/>
    </xf>
    <xf numFmtId="0" fontId="2" fillId="0" borderId="7" xfId="0" applyFont="1" applyBorder="1" applyAlignment="1">
      <alignment wrapText="1"/>
    </xf>
    <xf numFmtId="1" fontId="2" fillId="0" borderId="7" xfId="0" applyNumberFormat="1" applyFont="1" applyBorder="1" applyAlignment="1">
      <alignment horizontal="center" vertical="center"/>
    </xf>
    <xf numFmtId="167" fontId="2" fillId="4" borderId="7" xfId="0" applyNumberFormat="1" applyFont="1" applyFill="1" applyBorder="1" applyAlignment="1">
      <alignment horizontal="center" vertical="center"/>
    </xf>
    <xf numFmtId="0" fontId="9" fillId="0" borderId="6" xfId="0" applyFont="1" applyBorder="1" applyAlignment="1">
      <alignment wrapText="1"/>
    </xf>
    <xf numFmtId="167" fontId="9" fillId="0" borderId="6" xfId="0" applyNumberFormat="1" applyFont="1" applyBorder="1" applyAlignment="1">
      <alignment horizontal="center" vertical="center"/>
    </xf>
    <xf numFmtId="1" fontId="9" fillId="0" borderId="6" xfId="0" applyNumberFormat="1" applyFont="1" applyBorder="1" applyAlignment="1">
      <alignment horizontal="center" vertical="center"/>
    </xf>
    <xf numFmtId="165" fontId="11" fillId="0" borderId="6" xfId="1" applyFont="1" applyBorder="1" applyAlignment="1">
      <alignment horizontal="center" vertical="center"/>
    </xf>
    <xf numFmtId="167" fontId="11" fillId="0" borderId="6" xfId="2" applyNumberFormat="1" applyFont="1" applyBorder="1" applyAlignment="1">
      <alignment horizontal="center" vertical="center"/>
    </xf>
    <xf numFmtId="2" fontId="6" fillId="0" borderId="6" xfId="2" applyNumberFormat="1" applyFont="1" applyBorder="1" applyAlignment="1">
      <alignment horizontal="center" vertical="center"/>
    </xf>
    <xf numFmtId="2" fontId="9" fillId="0" borderId="6" xfId="0" applyNumberFormat="1" applyFont="1" applyBorder="1" applyAlignment="1">
      <alignment horizontal="center" vertical="center"/>
    </xf>
    <xf numFmtId="2" fontId="9" fillId="0" borderId="0" xfId="0" applyNumberFormat="1" applyFont="1" applyAlignment="1">
      <alignment horizontal="center" vertical="center"/>
    </xf>
    <xf numFmtId="2" fontId="11" fillId="0" borderId="6" xfId="3" applyNumberFormat="1" applyFont="1" applyFill="1" applyBorder="1" applyAlignment="1">
      <alignment horizontal="center" vertical="center"/>
    </xf>
    <xf numFmtId="167" fontId="12" fillId="0" borderId="6" xfId="3" applyNumberFormat="1" applyFont="1" applyFill="1" applyBorder="1" applyAlignment="1">
      <alignment horizontal="center" vertical="center"/>
    </xf>
    <xf numFmtId="0" fontId="0" fillId="0" borderId="6" xfId="0" applyBorder="1" applyAlignment="1">
      <alignment vertical="top" wrapText="1"/>
    </xf>
    <xf numFmtId="167" fontId="6" fillId="0" borderId="6" xfId="2" applyNumberFormat="1" applyFont="1" applyBorder="1" applyAlignment="1">
      <alignment horizontal="center" vertical="center"/>
    </xf>
    <xf numFmtId="167" fontId="11" fillId="0" borderId="3" xfId="2" applyNumberFormat="1" applyFont="1" applyFill="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1" fontId="1" fillId="0" borderId="7" xfId="2" applyNumberFormat="1" applyFont="1" applyBorder="1" applyAlignment="1">
      <alignment horizontal="center" vertical="center"/>
    </xf>
    <xf numFmtId="165" fontId="0" fillId="2" borderId="0" xfId="1" applyFont="1" applyFill="1"/>
    <xf numFmtId="167" fontId="9" fillId="0" borderId="5" xfId="0" applyNumberFormat="1" applyFont="1" applyBorder="1" applyAlignment="1">
      <alignment horizontal="center" vertical="center"/>
    </xf>
    <xf numFmtId="1" fontId="11" fillId="0" borderId="7" xfId="2" applyNumberFormat="1" applyFont="1" applyBorder="1" applyAlignment="1">
      <alignment horizontal="center" vertical="center"/>
    </xf>
    <xf numFmtId="167" fontId="10" fillId="5" borderId="7" xfId="2" applyNumberFormat="1" applyFont="1" applyFill="1" applyBorder="1" applyAlignment="1">
      <alignment horizontal="center" vertical="center"/>
    </xf>
    <xf numFmtId="167" fontId="0" fillId="0" borderId="7" xfId="0" applyNumberFormat="1" applyBorder="1" applyAlignment="1">
      <alignment horizontal="center" vertical="center"/>
    </xf>
    <xf numFmtId="167" fontId="10" fillId="0" borderId="0" xfId="2" applyNumberFormat="1" applyFont="1" applyBorder="1" applyAlignment="1">
      <alignment horizontal="center" vertical="center"/>
    </xf>
    <xf numFmtId="167" fontId="10" fillId="0" borderId="7" xfId="2" applyNumberFormat="1" applyFont="1" applyBorder="1" applyAlignment="1">
      <alignment horizontal="center" vertical="center"/>
    </xf>
    <xf numFmtId="167" fontId="10" fillId="0" borderId="0" xfId="2" applyNumberFormat="1" applyFont="1" applyFill="1" applyBorder="1" applyAlignment="1">
      <alignment horizontal="center"/>
    </xf>
    <xf numFmtId="0" fontId="9" fillId="0" borderId="28" xfId="0" applyFont="1" applyBorder="1" applyAlignment="1">
      <alignment wrapText="1"/>
    </xf>
    <xf numFmtId="167" fontId="11" fillId="2" borderId="7" xfId="2" applyNumberFormat="1" applyFont="1" applyFill="1" applyBorder="1" applyAlignment="1">
      <alignment horizontal="center" vertical="center"/>
    </xf>
    <xf numFmtId="2" fontId="6" fillId="0" borderId="7" xfId="2" applyNumberFormat="1" applyFont="1" applyBorder="1" applyAlignment="1">
      <alignment horizontal="center" vertical="center"/>
    </xf>
    <xf numFmtId="167" fontId="9" fillId="0" borderId="28" xfId="0" applyNumberFormat="1" applyFont="1" applyBorder="1" applyAlignment="1">
      <alignment horizontal="center" vertical="center"/>
    </xf>
    <xf numFmtId="1" fontId="9" fillId="0" borderId="28" xfId="0" applyNumberFormat="1" applyFont="1" applyBorder="1" applyAlignment="1">
      <alignment horizontal="center" vertical="center"/>
    </xf>
    <xf numFmtId="165" fontId="11" fillId="0" borderId="28" xfId="1" applyFont="1" applyBorder="1" applyAlignment="1">
      <alignment horizontal="center" vertical="center"/>
    </xf>
    <xf numFmtId="167" fontId="11" fillId="0" borderId="28" xfId="2" applyNumberFormat="1" applyFont="1" applyBorder="1" applyAlignment="1">
      <alignment horizontal="center" vertical="center"/>
    </xf>
    <xf numFmtId="2" fontId="6" fillId="0" borderId="28" xfId="2" applyNumberFormat="1" applyFont="1" applyBorder="1" applyAlignment="1">
      <alignment horizontal="center" vertical="center"/>
    </xf>
    <xf numFmtId="167" fontId="11" fillId="6" borderId="6" xfId="2" applyNumberFormat="1" applyFont="1" applyFill="1" applyBorder="1" applyAlignment="1">
      <alignment horizontal="center" vertical="center"/>
    </xf>
    <xf numFmtId="2" fontId="11" fillId="4" borderId="7" xfId="2" applyNumberFormat="1" applyFont="1" applyFill="1" applyBorder="1" applyAlignment="1">
      <alignment horizontal="center" vertical="center"/>
    </xf>
    <xf numFmtId="1" fontId="9" fillId="4" borderId="28" xfId="0" applyNumberFormat="1" applyFont="1" applyFill="1" applyBorder="1" applyAlignment="1">
      <alignment horizontal="center" vertical="center"/>
    </xf>
    <xf numFmtId="167" fontId="9" fillId="4" borderId="28" xfId="0" applyNumberFormat="1" applyFont="1" applyFill="1" applyBorder="1" applyAlignment="1">
      <alignment horizontal="center" vertical="center"/>
    </xf>
    <xf numFmtId="2" fontId="11" fillId="4" borderId="28" xfId="2" applyNumberFormat="1" applyFont="1" applyFill="1" applyBorder="1" applyAlignment="1">
      <alignment horizontal="center" vertical="center"/>
    </xf>
    <xf numFmtId="1" fontId="9" fillId="4" borderId="6" xfId="0" applyNumberFormat="1" applyFont="1" applyFill="1" applyBorder="1" applyAlignment="1">
      <alignment horizontal="center" vertical="center"/>
    </xf>
    <xf numFmtId="167" fontId="9" fillId="4" borderId="6" xfId="0" applyNumberFormat="1" applyFont="1" applyFill="1" applyBorder="1" applyAlignment="1">
      <alignment horizontal="center" vertical="center"/>
    </xf>
    <xf numFmtId="2" fontId="11" fillId="4" borderId="6" xfId="2" applyNumberFormat="1" applyFont="1" applyFill="1" applyBorder="1" applyAlignment="1">
      <alignment horizontal="center" vertical="center"/>
    </xf>
    <xf numFmtId="2" fontId="11" fillId="2" borderId="7" xfId="2" applyNumberFormat="1" applyFont="1" applyFill="1" applyBorder="1" applyAlignment="1">
      <alignment horizontal="center" vertical="center"/>
    </xf>
    <xf numFmtId="167" fontId="12" fillId="0" borderId="7" xfId="2" applyNumberFormat="1" applyFont="1" applyBorder="1" applyAlignment="1">
      <alignment horizontal="center" vertical="center"/>
    </xf>
    <xf numFmtId="2" fontId="11" fillId="2" borderId="28" xfId="2" applyNumberFormat="1" applyFont="1" applyFill="1" applyBorder="1" applyAlignment="1">
      <alignment horizontal="center" vertical="center"/>
    </xf>
    <xf numFmtId="167" fontId="11" fillId="4" borderId="28" xfId="2" applyNumberFormat="1" applyFont="1" applyFill="1" applyBorder="1" applyAlignment="1">
      <alignment horizontal="center" vertical="center"/>
    </xf>
    <xf numFmtId="167" fontId="12" fillId="0" borderId="28" xfId="2" applyNumberFormat="1" applyFont="1" applyBorder="1" applyAlignment="1">
      <alignment horizontal="center" vertical="center"/>
    </xf>
    <xf numFmtId="2" fontId="11" fillId="2" borderId="6" xfId="2" applyNumberFormat="1" applyFont="1" applyFill="1" applyBorder="1" applyAlignment="1">
      <alignment horizontal="center" vertical="center"/>
    </xf>
    <xf numFmtId="167" fontId="11" fillId="4" borderId="6" xfId="2" applyNumberFormat="1" applyFont="1" applyFill="1" applyBorder="1" applyAlignment="1">
      <alignment horizontal="center" vertical="center"/>
    </xf>
    <xf numFmtId="167" fontId="12" fillId="0" borderId="6" xfId="2" applyNumberFormat="1" applyFont="1" applyBorder="1" applyAlignment="1">
      <alignment horizontal="center" vertical="center"/>
    </xf>
    <xf numFmtId="2" fontId="11" fillId="2" borderId="29" xfId="2" applyNumberFormat="1" applyFont="1" applyFill="1" applyBorder="1" applyAlignment="1">
      <alignment horizontal="center" vertical="center"/>
    </xf>
    <xf numFmtId="167" fontId="11" fillId="4" borderId="29" xfId="2" applyNumberFormat="1" applyFont="1" applyFill="1" applyBorder="1" applyAlignment="1">
      <alignment horizontal="center" vertical="center"/>
    </xf>
    <xf numFmtId="167" fontId="12" fillId="0" borderId="29" xfId="2" applyNumberFormat="1" applyFont="1" applyBorder="1" applyAlignment="1">
      <alignment horizontal="center" vertical="center"/>
    </xf>
    <xf numFmtId="2" fontId="9" fillId="0" borderId="28" xfId="0" applyNumberFormat="1" applyFont="1" applyBorder="1" applyAlignment="1">
      <alignment horizontal="center" vertical="center"/>
    </xf>
    <xf numFmtId="0" fontId="31" fillId="0" borderId="19" xfId="0" quotePrefix="1" applyFont="1" applyBorder="1" applyAlignment="1">
      <alignment horizontal="left"/>
    </xf>
    <xf numFmtId="2" fontId="11" fillId="0" borderId="28" xfId="2" applyNumberFormat="1" applyFont="1" applyFill="1" applyBorder="1" applyAlignment="1">
      <alignment horizontal="center" vertical="center"/>
    </xf>
    <xf numFmtId="1" fontId="9" fillId="0" borderId="29" xfId="0" applyNumberFormat="1" applyFont="1" applyBorder="1" applyAlignment="1">
      <alignment horizontal="center" vertical="center"/>
    </xf>
    <xf numFmtId="167" fontId="9" fillId="0" borderId="29" xfId="0" applyNumberFormat="1" applyFont="1" applyBorder="1" applyAlignment="1">
      <alignment horizontal="center" vertical="center"/>
    </xf>
    <xf numFmtId="2" fontId="11" fillId="0" borderId="29" xfId="2" applyNumberFormat="1" applyFont="1" applyFill="1" applyBorder="1" applyAlignment="1">
      <alignment horizontal="center" vertical="center"/>
    </xf>
    <xf numFmtId="1" fontId="11" fillId="0" borderId="28" xfId="2" applyNumberFormat="1" applyFont="1" applyBorder="1" applyAlignment="1">
      <alignment horizontal="center" vertical="center"/>
    </xf>
    <xf numFmtId="167" fontId="10" fillId="5" borderId="28" xfId="2" applyNumberFormat="1" applyFont="1" applyFill="1" applyBorder="1" applyAlignment="1">
      <alignment horizontal="center" vertical="center"/>
    </xf>
    <xf numFmtId="167" fontId="0" fillId="0" borderId="28" xfId="0" applyNumberFormat="1" applyBorder="1" applyAlignment="1">
      <alignment horizontal="center" vertical="center"/>
    </xf>
    <xf numFmtId="1" fontId="11" fillId="0" borderId="6" xfId="2" applyNumberFormat="1" applyFont="1" applyBorder="1" applyAlignment="1">
      <alignment horizontal="center" vertical="center"/>
    </xf>
    <xf numFmtId="167" fontId="10" fillId="5" borderId="6" xfId="2" applyNumberFormat="1" applyFont="1" applyFill="1" applyBorder="1" applyAlignment="1">
      <alignment horizontal="center" vertical="center"/>
    </xf>
    <xf numFmtId="167" fontId="0" fillId="0" borderId="6" xfId="0" applyNumberFormat="1" applyBorder="1" applyAlignment="1">
      <alignment horizontal="center" vertical="center"/>
    </xf>
    <xf numFmtId="2" fontId="11" fillId="0" borderId="6" xfId="2" applyNumberFormat="1" applyFont="1" applyFill="1" applyBorder="1" applyAlignment="1">
      <alignment horizontal="center" vertical="center"/>
    </xf>
    <xf numFmtId="167" fontId="11" fillId="0" borderId="28" xfId="2" applyNumberFormat="1" applyFont="1" applyFill="1" applyBorder="1" applyAlignment="1">
      <alignment horizontal="center" vertical="center"/>
    </xf>
    <xf numFmtId="167" fontId="12" fillId="0" borderId="28" xfId="2" applyNumberFormat="1" applyFont="1" applyFill="1" applyBorder="1" applyAlignment="1">
      <alignment horizontal="center" vertical="center"/>
    </xf>
    <xf numFmtId="167" fontId="11" fillId="0" borderId="6" xfId="2" applyNumberFormat="1" applyFont="1" applyFill="1" applyBorder="1" applyAlignment="1">
      <alignment horizontal="center" vertical="center"/>
    </xf>
    <xf numFmtId="167" fontId="12" fillId="0" borderId="6" xfId="2" applyNumberFormat="1" applyFont="1" applyFill="1" applyBorder="1" applyAlignment="1">
      <alignment horizontal="center" vertical="center"/>
    </xf>
    <xf numFmtId="167" fontId="11" fillId="5" borderId="28" xfId="2" applyNumberFormat="1" applyFont="1" applyFill="1" applyBorder="1" applyAlignment="1">
      <alignment horizontal="center"/>
    </xf>
    <xf numFmtId="2" fontId="0" fillId="0" borderId="33" xfId="0" applyNumberFormat="1" applyBorder="1" applyAlignment="1">
      <alignment horizontal="center" vertical="center"/>
    </xf>
    <xf numFmtId="2" fontId="0" fillId="0" borderId="2" xfId="0" applyNumberFormat="1" applyBorder="1" applyAlignment="1">
      <alignment horizontal="center" vertical="center"/>
    </xf>
    <xf numFmtId="1" fontId="0" fillId="0" borderId="7" xfId="0" applyNumberFormat="1" applyBorder="1" applyAlignment="1">
      <alignment horizontal="center" vertical="center"/>
    </xf>
    <xf numFmtId="1" fontId="0" fillId="0" borderId="28" xfId="0" applyNumberFormat="1" applyBorder="1" applyAlignment="1">
      <alignment horizontal="center" vertical="center"/>
    </xf>
    <xf numFmtId="0" fontId="9" fillId="0" borderId="0" xfId="0" applyFont="1" applyAlignment="1">
      <alignment horizontal="left" vertical="center" wrapText="1"/>
    </xf>
    <xf numFmtId="0" fontId="0" fillId="0" borderId="0" xfId="0" applyAlignment="1">
      <alignment vertical="top" wrapText="1"/>
    </xf>
    <xf numFmtId="0" fontId="32" fillId="0" borderId="0" xfId="0" applyFont="1" applyAlignment="1">
      <alignment vertical="top" wrapText="1"/>
    </xf>
    <xf numFmtId="0" fontId="33" fillId="0" borderId="0" xfId="0" applyFont="1" applyAlignment="1">
      <alignment horizontal="left" vertical="center" wrapText="1"/>
    </xf>
    <xf numFmtId="0" fontId="33" fillId="0" borderId="0" xfId="0" applyFont="1" applyAlignment="1">
      <alignment wrapText="1"/>
    </xf>
    <xf numFmtId="0" fontId="32" fillId="0" borderId="0" xfId="0" applyFont="1"/>
    <xf numFmtId="167" fontId="0" fillId="0" borderId="0" xfId="0" applyNumberFormat="1" applyAlignment="1">
      <alignment horizontal="center" vertical="center"/>
    </xf>
    <xf numFmtId="0" fontId="34" fillId="0" borderId="0" xfId="0" applyFont="1"/>
    <xf numFmtId="179" fontId="0" fillId="0" borderId="7" xfId="0" applyNumberFormat="1" applyBorder="1" applyAlignment="1">
      <alignment horizontal="center"/>
    </xf>
    <xf numFmtId="0" fontId="0" fillId="0" borderId="14" xfId="0" applyBorder="1"/>
    <xf numFmtId="0" fontId="0" fillId="0" borderId="14" xfId="0" applyBorder="1" applyAlignment="1">
      <alignment horizontal="center" wrapText="1"/>
    </xf>
    <xf numFmtId="1" fontId="0" fillId="0" borderId="14" xfId="0" applyNumberFormat="1" applyBorder="1" applyAlignment="1">
      <alignment horizontal="center" vertical="center"/>
    </xf>
    <xf numFmtId="0" fontId="32" fillId="0" borderId="0" xfId="0" applyFont="1" applyAlignment="1">
      <alignment horizontal="left" wrapText="1"/>
    </xf>
    <xf numFmtId="1" fontId="0" fillId="0" borderId="3" xfId="0" applyNumberFormat="1" applyBorder="1" applyAlignment="1">
      <alignment horizontal="center" vertical="center"/>
    </xf>
    <xf numFmtId="0" fontId="0" fillId="0" borderId="22" xfId="0" applyBorder="1"/>
    <xf numFmtId="0" fontId="0" fillId="0" borderId="25" xfId="0" applyBorder="1"/>
    <xf numFmtId="0" fontId="9" fillId="0" borderId="5" xfId="0" applyFont="1" applyBorder="1" applyAlignment="1">
      <alignment wrapText="1"/>
    </xf>
    <xf numFmtId="0" fontId="2" fillId="0" borderId="5" xfId="0" applyFont="1" applyBorder="1" applyAlignment="1">
      <alignment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0" fillId="0" borderId="7" xfId="0" applyBorder="1" applyAlignment="1">
      <alignment horizontal="center" vertical="center" wrapText="1"/>
    </xf>
    <xf numFmtId="0" fontId="2" fillId="0" borderId="7" xfId="0" applyFont="1"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wrapText="1"/>
    </xf>
    <xf numFmtId="0" fontId="9" fillId="0" borderId="6" xfId="0" applyFont="1" applyBorder="1" applyAlignment="1">
      <alignment horizontal="center" vertical="center" wrapText="1"/>
    </xf>
    <xf numFmtId="0" fontId="9" fillId="0" borderId="28" xfId="0" applyFont="1" applyBorder="1" applyAlignment="1">
      <alignment horizontal="center" vertical="center" wrapText="1"/>
    </xf>
    <xf numFmtId="167" fontId="11" fillId="0" borderId="0" xfId="2" applyNumberFormat="1" applyFont="1" applyBorder="1" applyAlignment="1">
      <alignment horizontal="center" vertical="center"/>
    </xf>
    <xf numFmtId="164" fontId="11" fillId="0" borderId="0" xfId="2" applyFont="1"/>
    <xf numFmtId="0" fontId="0" fillId="0" borderId="0" xfId="0" applyAlignment="1">
      <alignment vertical="top"/>
    </xf>
    <xf numFmtId="0" fontId="35" fillId="0" borderId="0" xfId="0" applyFont="1"/>
    <xf numFmtId="165" fontId="11" fillId="0" borderId="0" xfId="1" applyFont="1" applyBorder="1" applyAlignment="1">
      <alignment horizontal="center" vertical="center"/>
    </xf>
    <xf numFmtId="2" fontId="11" fillId="0" borderId="0" xfId="2" applyNumberFormat="1" applyFont="1" applyBorder="1" applyAlignment="1">
      <alignment horizontal="center" vertical="center"/>
    </xf>
    <xf numFmtId="2" fontId="6" fillId="0" borderId="0" xfId="2" applyNumberFormat="1" applyFont="1" applyBorder="1" applyAlignment="1">
      <alignment horizontal="center" vertical="center" wrapText="1"/>
    </xf>
    <xf numFmtId="167" fontId="6" fillId="0" borderId="0" xfId="2" applyNumberFormat="1" applyFont="1" applyBorder="1" applyAlignment="1">
      <alignment horizontal="center" vertical="center"/>
    </xf>
    <xf numFmtId="167" fontId="0" fillId="7" borderId="7" xfId="0" applyNumberFormat="1" applyFill="1" applyBorder="1" applyAlignment="1">
      <alignment horizontal="center" vertical="center"/>
    </xf>
    <xf numFmtId="0" fontId="0" fillId="0" borderId="0" xfId="0" applyAlignment="1">
      <alignment vertical="center"/>
    </xf>
    <xf numFmtId="0" fontId="38" fillId="9" borderId="0" xfId="0" applyFont="1" applyFill="1"/>
    <xf numFmtId="0" fontId="39" fillId="9" borderId="0" xfId="0" applyFont="1" applyFill="1"/>
    <xf numFmtId="0" fontId="40" fillId="9" borderId="0" xfId="0" applyFont="1" applyFill="1" applyAlignment="1">
      <alignment horizontal="left" wrapText="1"/>
    </xf>
    <xf numFmtId="0" fontId="41" fillId="0" borderId="0" xfId="0" applyFont="1"/>
    <xf numFmtId="0" fontId="32" fillId="0" borderId="0" xfId="0" applyFont="1" applyAlignment="1">
      <alignment horizontal="left"/>
    </xf>
    <xf numFmtId="0" fontId="37" fillId="0" borderId="1" xfId="0" applyFont="1" applyBorder="1"/>
    <xf numFmtId="0" fontId="37" fillId="0" borderId="0" xfId="0" applyFont="1"/>
    <xf numFmtId="0" fontId="37" fillId="0" borderId="6" xfId="0" applyFont="1" applyBorder="1"/>
    <xf numFmtId="172" fontId="37" fillId="0" borderId="7" xfId="0" applyNumberFormat="1" applyFont="1" applyBorder="1" applyAlignment="1">
      <alignment horizontal="center"/>
    </xf>
    <xf numFmtId="0" fontId="37" fillId="0" borderId="7" xfId="0" applyFont="1" applyBorder="1"/>
    <xf numFmtId="0" fontId="43" fillId="0" borderId="7" xfId="0" applyFont="1" applyBorder="1" applyAlignment="1">
      <alignment wrapText="1"/>
    </xf>
    <xf numFmtId="0" fontId="43" fillId="0" borderId="7" xfId="0" applyFont="1" applyBorder="1" applyAlignment="1">
      <alignment horizontal="center" vertical="center" wrapText="1"/>
    </xf>
    <xf numFmtId="167" fontId="37" fillId="7" borderId="7" xfId="0" applyNumberFormat="1" applyFont="1" applyFill="1" applyBorder="1" applyAlignment="1">
      <alignment horizontal="center" vertical="center"/>
    </xf>
    <xf numFmtId="167" fontId="37" fillId="0" borderId="7" xfId="0" applyNumberFormat="1" applyFont="1" applyBorder="1" applyAlignment="1">
      <alignment horizontal="center" vertical="center"/>
    </xf>
    <xf numFmtId="0" fontId="43" fillId="0" borderId="28" xfId="0" applyFont="1" applyBorder="1" applyAlignment="1">
      <alignment wrapText="1"/>
    </xf>
    <xf numFmtId="0" fontId="43" fillId="0" borderId="28" xfId="0" applyFont="1" applyBorder="1" applyAlignment="1">
      <alignment horizontal="center" vertical="center" wrapText="1"/>
    </xf>
    <xf numFmtId="167" fontId="37" fillId="7" borderId="28" xfId="0" applyNumberFormat="1" applyFont="1" applyFill="1" applyBorder="1" applyAlignment="1">
      <alignment horizontal="center" vertical="center"/>
    </xf>
    <xf numFmtId="167" fontId="37" fillId="0" borderId="28" xfId="0" applyNumberFormat="1" applyFont="1" applyBorder="1" applyAlignment="1">
      <alignment horizontal="center" vertical="center"/>
    </xf>
    <xf numFmtId="0" fontId="43" fillId="0" borderId="6" xfId="0" applyFont="1" applyBorder="1" applyAlignment="1">
      <alignment wrapText="1"/>
    </xf>
    <xf numFmtId="167" fontId="37" fillId="7" borderId="6" xfId="0" applyNumberFormat="1" applyFont="1" applyFill="1" applyBorder="1" applyAlignment="1">
      <alignment horizontal="center" vertical="center"/>
    </xf>
    <xf numFmtId="167" fontId="37" fillId="0" borderId="6" xfId="0" applyNumberFormat="1" applyFont="1" applyBorder="1" applyAlignment="1">
      <alignment horizontal="center" vertical="center"/>
    </xf>
    <xf numFmtId="0" fontId="43" fillId="0" borderId="6" xfId="0" applyFont="1" applyBorder="1" applyAlignment="1">
      <alignment horizontal="center" vertical="center" wrapText="1"/>
    </xf>
    <xf numFmtId="0" fontId="44" fillId="0" borderId="0" xfId="0" applyFont="1"/>
    <xf numFmtId="0" fontId="45" fillId="0" borderId="0" xfId="0" applyFont="1"/>
    <xf numFmtId="0" fontId="37" fillId="0" borderId="1" xfId="0" applyFont="1" applyBorder="1" applyAlignment="1">
      <alignment horizontal="center" wrapText="1"/>
    </xf>
    <xf numFmtId="0" fontId="0" fillId="0" borderId="1" xfId="0" applyBorder="1" applyAlignment="1">
      <alignment horizontal="center" vertical="center" wrapText="1"/>
    </xf>
    <xf numFmtId="0" fontId="37" fillId="0" borderId="6" xfId="0" applyFont="1" applyBorder="1" applyAlignment="1">
      <alignment horizontal="center" vertical="center" wrapText="1"/>
    </xf>
    <xf numFmtId="0" fontId="0" fillId="0" borderId="7" xfId="0" applyBorder="1" applyAlignment="1">
      <alignment horizontal="center" vertical="center"/>
    </xf>
    <xf numFmtId="172" fontId="0" fillId="0" borderId="7" xfId="0" applyNumberFormat="1" applyBorder="1" applyAlignment="1">
      <alignment horizontal="center" vertical="center"/>
    </xf>
    <xf numFmtId="0" fontId="0" fillId="0" borderId="1" xfId="0" applyBorder="1" applyAlignment="1">
      <alignment horizontal="left" vertical="center"/>
    </xf>
    <xf numFmtId="0" fontId="0" fillId="0" borderId="6" xfId="0" applyBorder="1" applyAlignment="1">
      <alignment horizontal="left" vertical="center"/>
    </xf>
    <xf numFmtId="0" fontId="44" fillId="8" borderId="0" xfId="0" applyFont="1" applyFill="1" applyAlignment="1" applyProtection="1">
      <alignment horizontal="center" vertical="center"/>
      <protection locked="0"/>
    </xf>
    <xf numFmtId="0" fontId="0" fillId="0" borderId="5" xfId="0" applyBorder="1" applyAlignment="1">
      <alignment vertical="center"/>
    </xf>
    <xf numFmtId="0" fontId="37" fillId="0" borderId="5" xfId="0" applyFont="1" applyBorder="1" applyAlignment="1">
      <alignment vertical="center"/>
    </xf>
    <xf numFmtId="0" fontId="37" fillId="0" borderId="7" xfId="0" applyFont="1" applyBorder="1" applyAlignment="1">
      <alignment horizontal="center"/>
    </xf>
    <xf numFmtId="167" fontId="0" fillId="0" borderId="3" xfId="0" applyNumberFormat="1" applyBorder="1" applyAlignment="1">
      <alignment horizontal="center" vertical="center"/>
    </xf>
    <xf numFmtId="1" fontId="0" fillId="7" borderId="37" xfId="0" applyNumberFormat="1" applyFill="1" applyBorder="1" applyAlignment="1">
      <alignment horizontal="center" vertical="center"/>
    </xf>
    <xf numFmtId="1" fontId="0" fillId="7" borderId="7" xfId="0" applyNumberFormat="1" applyFill="1" applyBorder="1" applyAlignment="1">
      <alignment horizontal="center" vertical="center"/>
    </xf>
    <xf numFmtId="0" fontId="43" fillId="0" borderId="15" xfId="0" applyFont="1" applyBorder="1" applyAlignment="1">
      <alignment horizontal="center" vertical="center" wrapText="1"/>
    </xf>
    <xf numFmtId="167" fontId="0" fillId="7" borderId="6" xfId="0" applyNumberFormat="1" applyFill="1" applyBorder="1" applyAlignment="1">
      <alignment horizontal="center" vertical="center"/>
    </xf>
    <xf numFmtId="167" fontId="0" fillId="7" borderId="28" xfId="0" applyNumberFormat="1" applyFill="1" applyBorder="1" applyAlignment="1">
      <alignment horizontal="center" vertical="center"/>
    </xf>
    <xf numFmtId="167" fontId="0" fillId="0" borderId="21" xfId="0" applyNumberFormat="1" applyBorder="1" applyAlignment="1">
      <alignment horizontal="center" vertical="center"/>
    </xf>
    <xf numFmtId="1" fontId="0" fillId="7" borderId="40" xfId="0" applyNumberFormat="1" applyFill="1" applyBorder="1" applyAlignment="1">
      <alignment horizontal="center" vertical="center"/>
    </xf>
    <xf numFmtId="1" fontId="0" fillId="7" borderId="6" xfId="0" applyNumberFormat="1" applyFill="1" applyBorder="1" applyAlignment="1">
      <alignment horizontal="center" vertical="center"/>
    </xf>
    <xf numFmtId="167" fontId="0" fillId="0" borderId="41" xfId="0" applyNumberFormat="1" applyBorder="1" applyAlignment="1">
      <alignment horizontal="center" vertical="center"/>
    </xf>
    <xf numFmtId="1" fontId="0" fillId="7" borderId="42" xfId="0" applyNumberFormat="1" applyFill="1" applyBorder="1" applyAlignment="1">
      <alignment horizontal="center" vertical="center"/>
    </xf>
    <xf numFmtId="1" fontId="0" fillId="7" borderId="28" xfId="0" applyNumberFormat="1" applyFill="1" applyBorder="1" applyAlignment="1">
      <alignment horizontal="center" vertical="center"/>
    </xf>
    <xf numFmtId="0" fontId="53" fillId="0" borderId="0" xfId="0" applyFont="1"/>
    <xf numFmtId="0" fontId="54" fillId="0" borderId="0" xfId="0" applyFont="1" applyAlignment="1">
      <alignment horizontal="right"/>
    </xf>
    <xf numFmtId="0" fontId="0" fillId="0" borderId="2" xfId="0" applyBorder="1" applyAlignment="1">
      <alignment horizontal="center" vertical="center" wrapText="1"/>
    </xf>
    <xf numFmtId="0" fontId="50" fillId="9" borderId="0" xfId="0" applyFont="1" applyFill="1" applyAlignment="1">
      <alignment horizontal="center" vertical="center"/>
    </xf>
    <xf numFmtId="0" fontId="0" fillId="0" borderId="6" xfId="0" applyBorder="1" applyAlignment="1">
      <alignment wrapText="1"/>
    </xf>
    <xf numFmtId="0" fontId="0" fillId="0" borderId="28" xfId="0" applyBorder="1" applyAlignment="1">
      <alignment vertical="top" wrapText="1"/>
    </xf>
    <xf numFmtId="0" fontId="0" fillId="0" borderId="28" xfId="0" applyBorder="1" applyAlignment="1">
      <alignment horizontal="center" vertical="center" wrapText="1"/>
    </xf>
    <xf numFmtId="0" fontId="0" fillId="0" borderId="8" xfId="0" applyBorder="1"/>
    <xf numFmtId="167" fontId="37" fillId="0" borderId="0" xfId="0" applyNumberFormat="1" applyFont="1" applyAlignment="1">
      <alignment horizontal="center" vertical="center"/>
    </xf>
    <xf numFmtId="0" fontId="32" fillId="0" borderId="0" xfId="0" applyFont="1" applyAlignment="1">
      <alignment wrapText="1"/>
    </xf>
    <xf numFmtId="14" fontId="32" fillId="0" borderId="0" xfId="0" applyNumberFormat="1" applyFont="1" applyAlignment="1">
      <alignment wrapText="1"/>
    </xf>
    <xf numFmtId="0" fontId="38" fillId="0" borderId="0" xfId="0" applyFont="1"/>
    <xf numFmtId="172" fontId="0" fillId="0" borderId="0" xfId="0" applyNumberFormat="1" applyAlignment="1">
      <alignment horizontal="center" vertical="center"/>
    </xf>
    <xf numFmtId="172" fontId="37" fillId="0" borderId="0" xfId="0" applyNumberFormat="1" applyFont="1" applyAlignment="1">
      <alignment horizontal="center"/>
    </xf>
    <xf numFmtId="172" fontId="0" fillId="0" borderId="0" xfId="0" applyNumberFormat="1" applyAlignment="1">
      <alignment horizontal="center"/>
    </xf>
    <xf numFmtId="1" fontId="0" fillId="0" borderId="0" xfId="0" applyNumberFormat="1" applyAlignment="1">
      <alignment horizontal="center" vertical="center"/>
    </xf>
    <xf numFmtId="0" fontId="2" fillId="0" borderId="0" xfId="0" applyFont="1" applyAlignment="1">
      <alignment wrapText="1"/>
    </xf>
    <xf numFmtId="0" fontId="51" fillId="4" borderId="0" xfId="0" applyFont="1" applyFill="1" applyAlignment="1">
      <alignment vertical="center" wrapText="1"/>
    </xf>
    <xf numFmtId="0" fontId="0" fillId="0" borderId="2" xfId="0" applyBorder="1" applyAlignment="1">
      <alignment horizontal="center" vertical="center"/>
    </xf>
    <xf numFmtId="1" fontId="0" fillId="0" borderId="2" xfId="0" applyNumberFormat="1" applyBorder="1" applyAlignment="1">
      <alignment horizontal="center" vertical="center"/>
    </xf>
    <xf numFmtId="0" fontId="9" fillId="0" borderId="2" xfId="0" applyFont="1" applyBorder="1" applyAlignment="1">
      <alignment wrapText="1"/>
    </xf>
    <xf numFmtId="0" fontId="9" fillId="0" borderId="2" xfId="0" applyFont="1" applyBorder="1" applyAlignment="1">
      <alignment horizontal="left" vertical="center" wrapText="1"/>
    </xf>
    <xf numFmtId="172" fontId="0" fillId="0" borderId="2" xfId="0" applyNumberFormat="1" applyBorder="1" applyAlignment="1">
      <alignment horizontal="center" vertical="center"/>
    </xf>
    <xf numFmtId="167" fontId="0" fillId="0" borderId="2" xfId="0" applyNumberFormat="1" applyBorder="1" applyAlignment="1">
      <alignment horizontal="center" vertical="center"/>
    </xf>
    <xf numFmtId="0" fontId="37" fillId="0" borderId="2" xfId="0" applyFont="1" applyBorder="1"/>
    <xf numFmtId="167" fontId="9" fillId="5" borderId="7" xfId="0" applyNumberFormat="1" applyFont="1" applyFill="1" applyBorder="1" applyAlignment="1">
      <alignment horizontal="center" vertical="center"/>
    </xf>
    <xf numFmtId="167" fontId="9" fillId="2" borderId="7" xfId="0" applyNumberFormat="1"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xf>
    <xf numFmtId="2" fontId="11" fillId="0" borderId="1" xfId="2" applyNumberFormat="1" applyFont="1" applyFill="1" applyBorder="1" applyAlignment="1">
      <alignment horizontal="center" vertical="center"/>
    </xf>
    <xf numFmtId="1" fontId="9" fillId="0" borderId="1" xfId="0" applyNumberFormat="1" applyFont="1" applyBorder="1" applyAlignment="1">
      <alignment horizontal="center" vertical="center"/>
    </xf>
    <xf numFmtId="167" fontId="9" fillId="0" borderId="1" xfId="0" applyNumberFormat="1" applyFont="1" applyBorder="1" applyAlignment="1">
      <alignment horizontal="center" vertical="center"/>
    </xf>
    <xf numFmtId="177" fontId="1" fillId="0" borderId="1" xfId="2" applyNumberFormat="1" applyFont="1" applyBorder="1" applyAlignment="1">
      <alignment horizontal="center"/>
    </xf>
    <xf numFmtId="2" fontId="0" fillId="0" borderId="1" xfId="0" applyNumberFormat="1" applyBorder="1" applyAlignment="1">
      <alignment horizontal="center" vertical="center"/>
    </xf>
    <xf numFmtId="0" fontId="0" fillId="3" borderId="9" xfId="0" applyFill="1" applyBorder="1" applyAlignment="1">
      <alignment horizontal="center"/>
    </xf>
    <xf numFmtId="0" fontId="9" fillId="0" borderId="0" xfId="0" applyFont="1" applyAlignment="1">
      <alignment horizontal="left" vertical="center"/>
    </xf>
    <xf numFmtId="0" fontId="17" fillId="0" borderId="0" xfId="0" applyFont="1" applyAlignment="1">
      <alignment wrapText="1"/>
    </xf>
    <xf numFmtId="0" fontId="43" fillId="0" borderId="0" xfId="0" applyFont="1" applyAlignment="1">
      <alignment wrapText="1"/>
    </xf>
    <xf numFmtId="0" fontId="43" fillId="0" borderId="0" xfId="0" applyFont="1" applyAlignment="1">
      <alignment horizontal="center" vertical="center" wrapText="1"/>
    </xf>
    <xf numFmtId="175" fontId="0" fillId="0" borderId="1" xfId="0" applyNumberFormat="1" applyBorder="1"/>
    <xf numFmtId="176" fontId="0" fillId="0" borderId="1" xfId="0" applyNumberFormat="1" applyBorder="1"/>
    <xf numFmtId="167" fontId="11" fillId="0" borderId="33" xfId="2" applyNumberFormat="1" applyFont="1" applyFill="1" applyBorder="1" applyAlignment="1">
      <alignment horizontal="center" vertical="center"/>
    </xf>
    <xf numFmtId="167" fontId="11" fillId="0" borderId="34" xfId="2" applyNumberFormat="1" applyFont="1" applyFill="1" applyBorder="1" applyAlignment="1">
      <alignment horizontal="center" vertical="center"/>
    </xf>
    <xf numFmtId="167" fontId="12" fillId="0" borderId="34" xfId="2" applyNumberFormat="1" applyFont="1" applyFill="1" applyBorder="1" applyAlignment="1">
      <alignment horizontal="center" vertical="center"/>
    </xf>
    <xf numFmtId="167" fontId="11" fillId="0" borderId="2" xfId="2" applyNumberFormat="1" applyFont="1" applyFill="1" applyBorder="1" applyAlignment="1">
      <alignment horizontal="center" vertical="center"/>
    </xf>
    <xf numFmtId="167" fontId="12" fillId="0" borderId="0" xfId="2" applyNumberFormat="1" applyFont="1" applyFill="1" applyBorder="1" applyAlignment="1">
      <alignment horizontal="center" vertical="center"/>
    </xf>
    <xf numFmtId="0" fontId="9" fillId="0" borderId="24" xfId="0" applyFont="1" applyBorder="1" applyAlignment="1">
      <alignment wrapText="1"/>
    </xf>
    <xf numFmtId="167" fontId="0" fillId="0" borderId="24" xfId="0" applyNumberFormat="1" applyBorder="1" applyAlignment="1">
      <alignment horizontal="center" vertical="center"/>
    </xf>
    <xf numFmtId="0" fontId="17" fillId="0" borderId="24" xfId="0" applyFont="1" applyBorder="1" applyAlignment="1">
      <alignment wrapText="1"/>
    </xf>
    <xf numFmtId="0" fontId="9" fillId="0" borderId="24" xfId="0" applyFont="1" applyBorder="1" applyAlignment="1">
      <alignment horizontal="left" vertical="center"/>
    </xf>
    <xf numFmtId="167" fontId="37" fillId="0" borderId="24" xfId="0" applyNumberFormat="1" applyFont="1" applyBorder="1" applyAlignment="1">
      <alignment horizontal="center" vertical="center"/>
    </xf>
    <xf numFmtId="0" fontId="33" fillId="0" borderId="0" xfId="0" applyFont="1"/>
    <xf numFmtId="0" fontId="17" fillId="0" borderId="0" xfId="0" applyFont="1"/>
    <xf numFmtId="0" fontId="0" fillId="0" borderId="8" xfId="0" applyBorder="1" applyAlignment="1">
      <alignment vertical="top" wrapText="1"/>
    </xf>
    <xf numFmtId="0" fontId="0" fillId="0" borderId="8" xfId="0" applyBorder="1" applyAlignment="1">
      <alignment horizontal="center" vertical="center" wrapText="1"/>
    </xf>
    <xf numFmtId="167" fontId="0" fillId="0" borderId="8" xfId="0" applyNumberFormat="1" applyBorder="1" applyAlignment="1">
      <alignment horizontal="center" vertical="center"/>
    </xf>
    <xf numFmtId="0" fontId="59" fillId="0" borderId="0" xfId="0" applyFont="1"/>
    <xf numFmtId="0" fontId="57" fillId="0" borderId="0" xfId="0" applyFont="1" applyAlignment="1">
      <alignment vertical="center"/>
    </xf>
    <xf numFmtId="0" fontId="60" fillId="0" borderId="0" xfId="0" applyFont="1" applyAlignment="1">
      <alignment vertical="top"/>
    </xf>
    <xf numFmtId="0" fontId="43" fillId="0" borderId="7" xfId="0" applyFont="1" applyBorder="1" applyAlignment="1">
      <alignment horizontal="left" vertical="center" wrapText="1"/>
    </xf>
    <xf numFmtId="0" fontId="43" fillId="0" borderId="28"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0" fillId="0" borderId="24" xfId="0" applyBorder="1" applyAlignment="1">
      <alignment wrapText="1"/>
    </xf>
    <xf numFmtId="0" fontId="0" fillId="0" borderId="24" xfId="0" applyBorder="1" applyAlignment="1">
      <alignment horizontal="left" wrapText="1"/>
    </xf>
    <xf numFmtId="0" fontId="0" fillId="8" borderId="7" xfId="0" applyFill="1" applyBorder="1" applyAlignment="1" applyProtection="1">
      <alignment horizontal="center"/>
      <protection locked="0"/>
    </xf>
    <xf numFmtId="0" fontId="0" fillId="0" borderId="0" xfId="0" applyAlignment="1">
      <alignment horizontal="left" vertical="center" wrapText="1"/>
    </xf>
    <xf numFmtId="0" fontId="9" fillId="0" borderId="1" xfId="0" applyFont="1" applyBorder="1" applyAlignment="1">
      <alignment wrapText="1"/>
    </xf>
    <xf numFmtId="0" fontId="9" fillId="0" borderId="29" xfId="0" applyFont="1" applyBorder="1" applyAlignment="1">
      <alignment wrapText="1"/>
    </xf>
    <xf numFmtId="0" fontId="43" fillId="0" borderId="7" xfId="0" applyFont="1" applyBorder="1" applyAlignment="1">
      <alignment vertical="center" wrapText="1"/>
    </xf>
    <xf numFmtId="0" fontId="43" fillId="0" borderId="28" xfId="0" applyFont="1" applyBorder="1" applyAlignment="1">
      <alignment vertical="center" wrapText="1"/>
    </xf>
    <xf numFmtId="0" fontId="43" fillId="0" borderId="6" xfId="0" applyFont="1" applyBorder="1" applyAlignment="1">
      <alignment vertical="center" wrapText="1"/>
    </xf>
    <xf numFmtId="0" fontId="43" fillId="0" borderId="15" xfId="0" applyFont="1" applyBorder="1" applyAlignment="1">
      <alignment vertical="center" wrapText="1"/>
    </xf>
    <xf numFmtId="0" fontId="9" fillId="0" borderId="15" xfId="0" applyFont="1" applyBorder="1" applyAlignment="1">
      <alignment wrapText="1"/>
    </xf>
    <xf numFmtId="0" fontId="43" fillId="0" borderId="15" xfId="0" applyFont="1" applyBorder="1" applyAlignment="1">
      <alignment wrapText="1"/>
    </xf>
    <xf numFmtId="0" fontId="43" fillId="2" borderId="6" xfId="0" applyFont="1" applyFill="1" applyBorder="1" applyAlignment="1">
      <alignment wrapText="1"/>
    </xf>
    <xf numFmtId="0" fontId="50" fillId="9" borderId="0" xfId="0" applyFont="1" applyFill="1" applyAlignment="1">
      <alignment vertical="center"/>
    </xf>
    <xf numFmtId="0" fontId="59" fillId="0" borderId="0" xfId="0" applyFont="1" applyAlignment="1">
      <alignment vertical="top"/>
    </xf>
    <xf numFmtId="0" fontId="0" fillId="0" borderId="0" xfId="0" applyAlignment="1">
      <alignment horizontal="left" vertical="center"/>
    </xf>
    <xf numFmtId="0" fontId="0" fillId="0" borderId="0" xfId="0" applyAlignment="1">
      <alignment horizontal="left"/>
    </xf>
    <xf numFmtId="0" fontId="17" fillId="0" borderId="0" xfId="0" applyFont="1" applyAlignment="1">
      <alignment horizontal="left" vertical="center" wrapText="1"/>
    </xf>
    <xf numFmtId="0" fontId="58" fillId="0" borderId="0" xfId="0" applyFont="1" applyAlignment="1">
      <alignment vertical="center"/>
    </xf>
    <xf numFmtId="167" fontId="0" fillId="0" borderId="0" xfId="0" applyNumberFormat="1" applyAlignment="1">
      <alignment horizontal="left" vertical="center"/>
    </xf>
    <xf numFmtId="0" fontId="0" fillId="0" borderId="28" xfId="0" applyBorder="1" applyAlignment="1">
      <alignment wrapText="1"/>
    </xf>
    <xf numFmtId="1" fontId="11" fillId="0" borderId="8" xfId="3" applyNumberFormat="1" applyFont="1" applyFill="1" applyBorder="1" applyAlignment="1" applyProtection="1">
      <alignment horizontal="center"/>
    </xf>
    <xf numFmtId="1" fontId="11" fillId="0" borderId="0" xfId="3" applyNumberFormat="1" applyFont="1" applyFill="1" applyBorder="1" applyAlignment="1" applyProtection="1">
      <alignment horizontal="center"/>
    </xf>
    <xf numFmtId="0" fontId="0" fillId="2" borderId="6" xfId="0" applyFill="1" applyBorder="1"/>
    <xf numFmtId="1" fontId="11" fillId="0" borderId="6" xfId="3" applyNumberFormat="1" applyFont="1" applyFill="1" applyBorder="1" applyAlignment="1" applyProtection="1">
      <alignment horizontal="center"/>
    </xf>
    <xf numFmtId="9" fontId="0" fillId="0" borderId="6" xfId="4" applyFont="1" applyFill="1" applyBorder="1" applyAlignment="1">
      <alignment horizontal="center"/>
    </xf>
    <xf numFmtId="165" fontId="11" fillId="0" borderId="6" xfId="1" applyFont="1" applyFill="1" applyBorder="1" applyAlignment="1" applyProtection="1">
      <alignment horizontal="center"/>
    </xf>
    <xf numFmtId="167" fontId="11" fillId="0" borderId="6" xfId="3" applyNumberFormat="1" applyFont="1" applyFill="1" applyBorder="1" applyAlignment="1">
      <alignment horizontal="center"/>
    </xf>
    <xf numFmtId="2" fontId="11" fillId="0" borderId="6" xfId="3" applyNumberFormat="1" applyFont="1" applyFill="1" applyBorder="1" applyAlignment="1">
      <alignment horizontal="center"/>
    </xf>
    <xf numFmtId="1" fontId="11" fillId="0" borderId="15" xfId="3" applyNumberFormat="1" applyFont="1" applyFill="1" applyBorder="1" applyAlignment="1" applyProtection="1">
      <alignment horizontal="center"/>
    </xf>
    <xf numFmtId="9" fontId="0" fillId="0" borderId="15" xfId="4" applyFont="1" applyFill="1" applyBorder="1" applyAlignment="1">
      <alignment horizontal="center"/>
    </xf>
    <xf numFmtId="165" fontId="11" fillId="0" borderId="15" xfId="1" applyFont="1" applyFill="1" applyBorder="1" applyAlignment="1" applyProtection="1">
      <alignment horizontal="center"/>
    </xf>
    <xf numFmtId="167" fontId="9" fillId="0" borderId="15" xfId="0" applyNumberFormat="1" applyFont="1" applyBorder="1" applyAlignment="1">
      <alignment horizontal="center" vertical="center"/>
    </xf>
    <xf numFmtId="167" fontId="11" fillId="0" borderId="15" xfId="3" applyNumberFormat="1" applyFont="1" applyFill="1" applyBorder="1" applyAlignment="1">
      <alignment horizontal="center"/>
    </xf>
    <xf numFmtId="2" fontId="11" fillId="0" borderId="15" xfId="3" applyNumberFormat="1" applyFont="1" applyFill="1" applyBorder="1" applyAlignment="1">
      <alignment horizontal="center"/>
    </xf>
    <xf numFmtId="9" fontId="0" fillId="0" borderId="0" xfId="4" applyFont="1" applyFill="1" applyBorder="1" applyAlignment="1">
      <alignment horizontal="center"/>
    </xf>
    <xf numFmtId="165" fontId="0" fillId="0" borderId="0" xfId="1" applyFont="1" applyFill="1" applyBorder="1"/>
    <xf numFmtId="167" fontId="11" fillId="0" borderId="0" xfId="3" applyNumberFormat="1" applyFont="1" applyFill="1" applyBorder="1" applyAlignment="1" applyProtection="1">
      <alignment horizontal="center"/>
    </xf>
    <xf numFmtId="167" fontId="11" fillId="0" borderId="0" xfId="3" applyNumberFormat="1" applyFont="1" applyFill="1" applyBorder="1" applyAlignment="1" applyProtection="1">
      <alignment horizontal="center" vertical="center"/>
    </xf>
    <xf numFmtId="165" fontId="11" fillId="0" borderId="0" xfId="1" applyFont="1" applyFill="1" applyBorder="1" applyAlignment="1" applyProtection="1">
      <alignment horizontal="center"/>
    </xf>
    <xf numFmtId="181" fontId="9" fillId="0" borderId="0" xfId="0" applyNumberFormat="1" applyFont="1"/>
    <xf numFmtId="0" fontId="9" fillId="0" borderId="0" xfId="0" applyFont="1" applyAlignment="1">
      <alignment vertical="top" wrapText="1"/>
    </xf>
    <xf numFmtId="0" fontId="55" fillId="0" borderId="1" xfId="0" applyFont="1" applyBorder="1" applyAlignment="1">
      <alignment horizontal="left" vertical="center"/>
    </xf>
    <xf numFmtId="0" fontId="55" fillId="7" borderId="7" xfId="0" applyFont="1" applyFill="1" applyBorder="1" applyAlignment="1">
      <alignment horizontal="center" vertical="center"/>
    </xf>
    <xf numFmtId="180" fontId="55" fillId="0" borderId="4" xfId="0" applyNumberFormat="1" applyFont="1" applyBorder="1" applyAlignment="1">
      <alignment vertical="center"/>
    </xf>
    <xf numFmtId="0" fontId="55" fillId="0" borderId="5" xfId="0" applyFont="1" applyBorder="1" applyAlignment="1">
      <alignment vertical="center"/>
    </xf>
    <xf numFmtId="0" fontId="55" fillId="0" borderId="6" xfId="0" applyFont="1" applyBorder="1" applyAlignment="1">
      <alignment horizontal="left" vertical="center"/>
    </xf>
    <xf numFmtId="172" fontId="55" fillId="0" borderId="6" xfId="0" applyNumberFormat="1" applyFont="1" applyBorder="1" applyAlignment="1">
      <alignment horizontal="center" vertical="center"/>
    </xf>
    <xf numFmtId="0" fontId="55" fillId="0" borderId="6" xfId="0" applyFont="1" applyBorder="1"/>
    <xf numFmtId="172" fontId="55" fillId="0" borderId="7" xfId="0" applyNumberFormat="1" applyFont="1" applyBorder="1" applyAlignment="1">
      <alignment horizontal="center" vertical="center"/>
    </xf>
    <xf numFmtId="0" fontId="55" fillId="0" borderId="4" xfId="0" applyFont="1" applyBorder="1" applyAlignment="1">
      <alignment vertical="center"/>
    </xf>
    <xf numFmtId="0" fontId="55" fillId="0" borderId="14" xfId="0" applyFont="1" applyBorder="1" applyAlignment="1">
      <alignment horizontal="left" vertical="center"/>
    </xf>
    <xf numFmtId="0" fontId="55" fillId="0" borderId="6" xfId="0" applyFont="1" applyBorder="1" applyAlignment="1">
      <alignment horizontal="center" vertical="center"/>
    </xf>
    <xf numFmtId="172" fontId="55" fillId="0" borderId="3" xfId="0" applyNumberFormat="1" applyFont="1" applyBorder="1" applyAlignment="1">
      <alignment horizontal="center" vertical="center"/>
    </xf>
    <xf numFmtId="0" fontId="0" fillId="0" borderId="6" xfId="0" applyBorder="1" applyAlignment="1">
      <alignment vertical="center" wrapText="1"/>
    </xf>
    <xf numFmtId="0" fontId="0" fillId="0" borderId="6" xfId="0" applyBorder="1" applyAlignment="1">
      <alignment horizontal="left" vertical="center" wrapText="1"/>
    </xf>
    <xf numFmtId="0" fontId="55" fillId="0" borderId="4" xfId="0" applyFont="1" applyBorder="1" applyAlignment="1">
      <alignment horizontal="center" vertical="center"/>
    </xf>
    <xf numFmtId="180" fontId="55" fillId="0" borderId="4" xfId="0" applyNumberFormat="1" applyFont="1" applyBorder="1" applyAlignment="1">
      <alignment horizontal="center" vertical="center"/>
    </xf>
    <xf numFmtId="0" fontId="55" fillId="7" borderId="3" xfId="0" applyFont="1" applyFill="1" applyBorder="1" applyAlignment="1">
      <alignment horizontal="center" vertical="center"/>
    </xf>
    <xf numFmtId="0" fontId="55" fillId="0" borderId="43" xfId="0" applyFont="1" applyBorder="1" applyAlignment="1">
      <alignment horizontal="center" vertical="center"/>
    </xf>
    <xf numFmtId="2" fontId="0" fillId="0" borderId="45" xfId="0" applyNumberFormat="1" applyBorder="1" applyAlignment="1">
      <alignment horizontal="center" vertical="center"/>
    </xf>
    <xf numFmtId="182" fontId="67" fillId="0" borderId="44" xfId="0" applyNumberFormat="1" applyFont="1" applyBorder="1" applyAlignment="1">
      <alignment horizontal="center" vertical="center" wrapText="1"/>
    </xf>
    <xf numFmtId="2" fontId="0" fillId="0" borderId="44" xfId="0" applyNumberFormat="1" applyBorder="1" applyAlignment="1">
      <alignment horizontal="center" vertical="center"/>
    </xf>
    <xf numFmtId="2" fontId="0" fillId="0" borderId="46" xfId="0" applyNumberFormat="1" applyBorder="1" applyAlignment="1">
      <alignment horizontal="center" vertical="center"/>
    </xf>
    <xf numFmtId="2" fontId="0" fillId="7" borderId="7" xfId="0" applyNumberFormat="1" applyFill="1" applyBorder="1" applyAlignment="1">
      <alignment horizontal="center" vertical="center"/>
    </xf>
    <xf numFmtId="2" fontId="0" fillId="7" borderId="28" xfId="0" applyNumberFormat="1" applyFill="1" applyBorder="1" applyAlignment="1">
      <alignment horizontal="center" vertical="center"/>
    </xf>
    <xf numFmtId="2" fontId="0" fillId="7" borderId="6" xfId="0" applyNumberFormat="1" applyFill="1" applyBorder="1" applyAlignment="1">
      <alignment horizontal="center" vertical="center"/>
    </xf>
    <xf numFmtId="0" fontId="0" fillId="2" borderId="7" xfId="0" applyFill="1" applyBorder="1" applyAlignment="1">
      <alignment wrapText="1"/>
    </xf>
    <xf numFmtId="2" fontId="0" fillId="0" borderId="14" xfId="0" applyNumberFormat="1" applyBorder="1" applyAlignment="1">
      <alignment horizontal="center" vertical="center"/>
    </xf>
    <xf numFmtId="2" fontId="6" fillId="0" borderId="6" xfId="0" applyNumberFormat="1" applyFont="1" applyBorder="1" applyAlignment="1">
      <alignment horizontal="center" vertical="center"/>
    </xf>
    <xf numFmtId="2" fontId="37" fillId="7" borderId="7" xfId="0" applyNumberFormat="1" applyFont="1" applyFill="1" applyBorder="1" applyAlignment="1">
      <alignment horizontal="center" vertical="center"/>
    </xf>
    <xf numFmtId="2" fontId="37" fillId="0" borderId="7" xfId="0" applyNumberFormat="1" applyFont="1" applyBorder="1" applyAlignment="1">
      <alignment horizontal="center" vertical="center"/>
    </xf>
    <xf numFmtId="2" fontId="37" fillId="7" borderId="6" xfId="0" applyNumberFormat="1" applyFont="1" applyFill="1" applyBorder="1" applyAlignment="1">
      <alignment horizontal="center" vertical="center"/>
    </xf>
    <xf numFmtId="2" fontId="37" fillId="7" borderId="28" xfId="0" applyNumberFormat="1" applyFont="1" applyFill="1" applyBorder="1" applyAlignment="1">
      <alignment horizontal="center" vertical="center"/>
    </xf>
    <xf numFmtId="2" fontId="37" fillId="7" borderId="15" xfId="0" applyNumberFormat="1" applyFont="1" applyFill="1" applyBorder="1" applyAlignment="1">
      <alignment horizontal="center" vertical="center"/>
    </xf>
    <xf numFmtId="2" fontId="0" fillId="0" borderId="47" xfId="0" applyNumberFormat="1" applyBorder="1" applyAlignment="1">
      <alignment horizontal="center" vertical="center"/>
    </xf>
    <xf numFmtId="1" fontId="9" fillId="0" borderId="15" xfId="0" applyNumberFormat="1" applyFont="1" applyBorder="1" applyAlignment="1">
      <alignment horizontal="center" vertical="center"/>
    </xf>
    <xf numFmtId="2" fontId="37" fillId="0" borderId="6" xfId="0" applyNumberFormat="1" applyFont="1" applyBorder="1" applyAlignment="1">
      <alignment horizontal="center" vertical="center"/>
    </xf>
    <xf numFmtId="2" fontId="37" fillId="0" borderId="49" xfId="0" applyNumberFormat="1" applyFont="1" applyBorder="1" applyAlignment="1">
      <alignment horizontal="center" vertical="center"/>
    </xf>
    <xf numFmtId="2" fontId="37" fillId="0" borderId="15" xfId="0" applyNumberFormat="1" applyFont="1" applyBorder="1" applyAlignment="1">
      <alignment horizontal="center" vertical="center"/>
    </xf>
    <xf numFmtId="2" fontId="37" fillId="0" borderId="42" xfId="0" applyNumberFormat="1" applyFont="1" applyBorder="1" applyAlignment="1">
      <alignment horizontal="center" vertical="center"/>
    </xf>
    <xf numFmtId="2" fontId="37" fillId="0" borderId="28" xfId="0" applyNumberFormat="1" applyFont="1" applyBorder="1" applyAlignment="1">
      <alignment horizontal="center" vertical="center"/>
    </xf>
    <xf numFmtId="175" fontId="0" fillId="0" borderId="2" xfId="0" applyNumberFormat="1" applyBorder="1"/>
    <xf numFmtId="2" fontId="0" fillId="0" borderId="3" xfId="0" applyNumberFormat="1" applyBorder="1" applyAlignment="1">
      <alignment horizontal="center" vertical="center"/>
    </xf>
    <xf numFmtId="177" fontId="1" fillId="0" borderId="2" xfId="2" applyNumberFormat="1" applyFont="1" applyBorder="1" applyAlignment="1">
      <alignment horizontal="center"/>
    </xf>
    <xf numFmtId="2" fontId="37" fillId="7" borderId="50" xfId="0" applyNumberFormat="1" applyFont="1" applyFill="1" applyBorder="1" applyAlignment="1">
      <alignment horizontal="center" vertical="center"/>
    </xf>
    <xf numFmtId="2" fontId="37" fillId="7" borderId="51" xfId="0" applyNumberFormat="1" applyFont="1" applyFill="1" applyBorder="1" applyAlignment="1">
      <alignment horizontal="center" vertical="center"/>
    </xf>
    <xf numFmtId="0" fontId="0" fillId="0" borderId="28" xfId="0" applyBorder="1" applyAlignment="1">
      <alignment horizontal="center" vertical="center"/>
    </xf>
    <xf numFmtId="165" fontId="0" fillId="7" borderId="7" xfId="1" applyFont="1" applyFill="1" applyBorder="1" applyAlignment="1">
      <alignment horizontal="center" vertical="center"/>
    </xf>
    <xf numFmtId="165" fontId="0" fillId="0" borderId="45" xfId="1" applyFont="1" applyBorder="1" applyAlignment="1">
      <alignment horizontal="center" vertical="center"/>
    </xf>
    <xf numFmtId="165" fontId="0" fillId="0" borderId="7" xfId="1" applyFont="1" applyBorder="1" applyAlignment="1">
      <alignment horizontal="center" vertical="center"/>
    </xf>
    <xf numFmtId="0" fontId="68" fillId="8" borderId="0" xfId="0" applyFont="1" applyFill="1" applyAlignment="1" applyProtection="1">
      <alignment horizontal="center"/>
      <protection locked="0"/>
    </xf>
    <xf numFmtId="0" fontId="68" fillId="0" borderId="7" xfId="0" applyFont="1" applyBorder="1" applyAlignment="1" applyProtection="1">
      <alignment horizontal="center"/>
      <protection locked="0"/>
    </xf>
    <xf numFmtId="0" fontId="55" fillId="0" borderId="1" xfId="0" applyFont="1" applyBorder="1"/>
    <xf numFmtId="172" fontId="55" fillId="0" borderId="5" xfId="0" applyNumberFormat="1" applyFont="1" applyBorder="1" applyAlignment="1">
      <alignment horizontal="center" vertical="center"/>
    </xf>
    <xf numFmtId="1" fontId="11" fillId="0" borderId="7" xfId="2" applyNumberFormat="1" applyFont="1" applyFill="1" applyBorder="1" applyAlignment="1">
      <alignment horizontal="center" vertical="center"/>
    </xf>
    <xf numFmtId="167" fontId="9" fillId="0" borderId="3" xfId="0" applyNumberFormat="1" applyFont="1" applyBorder="1" applyAlignment="1">
      <alignment horizontal="center" vertical="center"/>
    </xf>
    <xf numFmtId="167" fontId="6" fillId="0" borderId="28" xfId="2" applyNumberFormat="1" applyFont="1" applyBorder="1" applyAlignment="1">
      <alignment horizontal="center" vertical="center"/>
    </xf>
    <xf numFmtId="167" fontId="11" fillId="0" borderId="28" xfId="2" applyNumberFormat="1" applyFont="1" applyFill="1" applyBorder="1" applyAlignment="1">
      <alignment horizontal="center"/>
    </xf>
    <xf numFmtId="0" fontId="0" fillId="0" borderId="15" xfId="0" applyBorder="1" applyAlignment="1">
      <alignment vertical="top" wrapText="1"/>
    </xf>
    <xf numFmtId="167" fontId="11" fillId="0" borderId="15"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167" fontId="9" fillId="0" borderId="21" xfId="0" applyNumberFormat="1" applyFont="1" applyBorder="1" applyAlignment="1">
      <alignment horizontal="center" vertical="center"/>
    </xf>
    <xf numFmtId="1" fontId="11" fillId="0" borderId="15" xfId="2" applyNumberFormat="1" applyFont="1" applyFill="1" applyBorder="1" applyAlignment="1">
      <alignment horizontal="center" vertical="center"/>
    </xf>
    <xf numFmtId="167" fontId="10" fillId="5" borderId="15" xfId="2" applyNumberFormat="1" applyFont="1" applyFill="1" applyBorder="1" applyAlignment="1">
      <alignment horizontal="center" vertical="center"/>
    </xf>
    <xf numFmtId="1" fontId="11" fillId="0" borderId="28" xfId="2" applyNumberFormat="1" applyFont="1" applyFill="1" applyBorder="1" applyAlignment="1">
      <alignment horizontal="center" vertical="center"/>
    </xf>
    <xf numFmtId="167" fontId="11" fillId="0" borderId="6" xfId="2" applyNumberFormat="1" applyFont="1" applyFill="1" applyBorder="1" applyAlignment="1">
      <alignment horizontal="center"/>
    </xf>
    <xf numFmtId="2" fontId="11" fillId="0" borderId="15" xfId="2" applyNumberFormat="1" applyFont="1" applyFill="1" applyBorder="1" applyAlignment="1">
      <alignment horizontal="center" vertical="center"/>
    </xf>
    <xf numFmtId="0" fontId="0" fillId="0" borderId="7" xfId="0" applyBorder="1" applyAlignment="1">
      <alignment vertical="center" wrapText="1"/>
    </xf>
    <xf numFmtId="0" fontId="0" fillId="0" borderId="28" xfId="0" applyBorder="1" applyAlignment="1">
      <alignment vertical="center" wrapText="1"/>
    </xf>
    <xf numFmtId="2" fontId="11" fillId="0" borderId="6" xfId="2" applyNumberFormat="1" applyFont="1" applyFill="1" applyBorder="1" applyAlignment="1">
      <alignment horizontal="center"/>
    </xf>
    <xf numFmtId="167" fontId="12" fillId="0" borderId="6" xfId="2" applyNumberFormat="1" applyFont="1" applyFill="1" applyBorder="1" applyAlignment="1">
      <alignment horizontal="center"/>
    </xf>
    <xf numFmtId="2" fontId="11" fillId="0" borderId="28" xfId="2" applyNumberFormat="1" applyFont="1" applyFill="1" applyBorder="1" applyAlignment="1">
      <alignment horizontal="center"/>
    </xf>
    <xf numFmtId="167" fontId="12" fillId="0" borderId="28" xfId="2" applyNumberFormat="1" applyFont="1" applyFill="1" applyBorder="1" applyAlignment="1">
      <alignment horizontal="center"/>
    </xf>
    <xf numFmtId="2" fontId="0" fillId="7" borderId="51" xfId="0" applyNumberFormat="1" applyFill="1" applyBorder="1" applyAlignment="1">
      <alignment horizontal="center" vertical="center"/>
    </xf>
    <xf numFmtId="167" fontId="12" fillId="0" borderId="15" xfId="3" applyNumberFormat="1" applyFont="1" applyFill="1" applyBorder="1" applyAlignment="1">
      <alignment horizontal="center" vertical="center"/>
    </xf>
    <xf numFmtId="167" fontId="11" fillId="0" borderId="53" xfId="3" applyNumberFormat="1" applyFont="1" applyFill="1" applyBorder="1" applyAlignment="1">
      <alignment horizontal="center" vertical="center"/>
    </xf>
    <xf numFmtId="167" fontId="11" fillId="0" borderId="15" xfId="3" applyNumberFormat="1" applyFont="1" applyFill="1" applyBorder="1" applyAlignment="1">
      <alignment horizontal="center" vertical="center"/>
    </xf>
    <xf numFmtId="165" fontId="9" fillId="0" borderId="15" xfId="3" applyFont="1" applyFill="1" applyBorder="1" applyAlignment="1">
      <alignment horizontal="center" vertical="center"/>
    </xf>
    <xf numFmtId="167" fontId="9" fillId="0" borderId="14" xfId="0" applyNumberFormat="1" applyFont="1" applyBorder="1" applyAlignment="1">
      <alignment horizontal="center"/>
    </xf>
    <xf numFmtId="2" fontId="9" fillId="0" borderId="15" xfId="0" applyNumberFormat="1" applyFont="1" applyBorder="1" applyAlignment="1">
      <alignment horizontal="center" vertical="center"/>
    </xf>
    <xf numFmtId="167" fontId="9" fillId="0" borderId="14" xfId="0" applyNumberFormat="1" applyFont="1" applyBorder="1" applyAlignment="1">
      <alignment horizontal="center" vertical="center"/>
    </xf>
    <xf numFmtId="167" fontId="11" fillId="0" borderId="21" xfId="3" applyNumberFormat="1" applyFont="1" applyFill="1" applyBorder="1" applyAlignment="1">
      <alignment horizontal="center" vertical="center"/>
    </xf>
    <xf numFmtId="167" fontId="11" fillId="0" borderId="6" xfId="3" applyNumberFormat="1" applyFont="1" applyFill="1" applyBorder="1" applyAlignment="1">
      <alignment horizontal="center" vertical="center"/>
    </xf>
    <xf numFmtId="0" fontId="61" fillId="0" borderId="0" xfId="0" applyFont="1" applyAlignment="1">
      <alignment horizontal="center"/>
    </xf>
    <xf numFmtId="0" fontId="64" fillId="0" borderId="0" xfId="0" applyFont="1" applyAlignment="1">
      <alignment horizontal="center"/>
    </xf>
    <xf numFmtId="0" fontId="61" fillId="0" borderId="0" xfId="0" applyFont="1"/>
    <xf numFmtId="0" fontId="61" fillId="0" borderId="8" xfId="0" applyFont="1" applyBorder="1" applyAlignment="1">
      <alignment horizontal="center"/>
    </xf>
    <xf numFmtId="0" fontId="0" fillId="0" borderId="8" xfId="0" applyBorder="1" applyAlignment="1">
      <alignment horizontal="center"/>
    </xf>
    <xf numFmtId="0" fontId="64" fillId="0" borderId="8" xfId="0" applyFont="1" applyBorder="1" applyAlignment="1">
      <alignment horizontal="center"/>
    </xf>
    <xf numFmtId="1" fontId="9" fillId="0" borderId="48" xfId="0" applyNumberFormat="1" applyFont="1" applyBorder="1" applyAlignment="1">
      <alignment horizontal="center" vertical="center"/>
    </xf>
    <xf numFmtId="1" fontId="11" fillId="0" borderId="48" xfId="3" applyNumberFormat="1" applyFont="1" applyFill="1" applyBorder="1" applyAlignment="1" applyProtection="1">
      <alignment horizontal="center"/>
    </xf>
    <xf numFmtId="9" fontId="0" fillId="0" borderId="48" xfId="4" applyFont="1" applyFill="1" applyBorder="1" applyAlignment="1">
      <alignment horizontal="center"/>
    </xf>
    <xf numFmtId="165" fontId="11" fillId="0" borderId="48" xfId="1" applyFont="1" applyFill="1" applyBorder="1" applyAlignment="1" applyProtection="1">
      <alignment horizontal="center"/>
    </xf>
    <xf numFmtId="1" fontId="9" fillId="0" borderId="48" xfId="0" applyNumberFormat="1" applyFont="1" applyBorder="1" applyAlignment="1">
      <alignment horizontal="center"/>
    </xf>
    <xf numFmtId="167" fontId="9" fillId="0" borderId="48" xfId="0" applyNumberFormat="1" applyFont="1" applyBorder="1" applyAlignment="1">
      <alignment horizontal="center"/>
    </xf>
    <xf numFmtId="167" fontId="11" fillId="0" borderId="48" xfId="3" applyNumberFormat="1" applyFont="1" applyFill="1" applyBorder="1" applyAlignment="1">
      <alignment horizontal="center"/>
    </xf>
    <xf numFmtId="2" fontId="11" fillId="0" borderId="48" xfId="3" applyNumberFormat="1" applyFont="1" applyFill="1" applyBorder="1" applyAlignment="1">
      <alignment horizontal="center"/>
    </xf>
    <xf numFmtId="167" fontId="9" fillId="0" borderId="48" xfId="0" applyNumberFormat="1" applyFont="1" applyBorder="1" applyAlignment="1">
      <alignment horizontal="center" vertical="center"/>
    </xf>
    <xf numFmtId="1" fontId="9" fillId="0" borderId="15" xfId="0" applyNumberFormat="1" applyFont="1" applyBorder="1" applyAlignment="1">
      <alignment horizontal="center"/>
    </xf>
    <xf numFmtId="1" fontId="9" fillId="0" borderId="6" xfId="0" applyNumberFormat="1" applyFont="1" applyBorder="1" applyAlignment="1">
      <alignment horizontal="center"/>
    </xf>
    <xf numFmtId="165" fontId="0" fillId="0" borderId="7" xfId="1" applyFont="1" applyFill="1" applyBorder="1"/>
    <xf numFmtId="0" fontId="6" fillId="0" borderId="0" xfId="0" applyFont="1" applyAlignment="1">
      <alignment horizontal="center" vertical="center"/>
    </xf>
    <xf numFmtId="167" fontId="6" fillId="0" borderId="0" xfId="3" applyNumberFormat="1" applyFont="1" applyFill="1" applyBorder="1" applyAlignment="1">
      <alignment horizontal="center"/>
    </xf>
    <xf numFmtId="1" fontId="17" fillId="0" borderId="15" xfId="0" applyNumberFormat="1" applyFont="1" applyBorder="1" applyAlignment="1">
      <alignment horizontal="center" vertical="center"/>
    </xf>
    <xf numFmtId="1" fontId="17" fillId="0" borderId="6" xfId="0" applyNumberFormat="1" applyFont="1" applyBorder="1" applyAlignment="1">
      <alignment horizontal="center" vertical="center"/>
    </xf>
    <xf numFmtId="165" fontId="9" fillId="0" borderId="6" xfId="3" applyFont="1" applyFill="1" applyBorder="1" applyAlignment="1">
      <alignment horizontal="center" vertical="center"/>
    </xf>
    <xf numFmtId="167" fontId="11" fillId="0" borderId="54" xfId="3" applyNumberFormat="1" applyFont="1" applyFill="1" applyBorder="1" applyAlignment="1">
      <alignment horizontal="center" vertical="center"/>
    </xf>
    <xf numFmtId="167" fontId="11" fillId="0" borderId="48" xfId="3" applyNumberFormat="1" applyFont="1" applyFill="1" applyBorder="1" applyAlignment="1">
      <alignment horizontal="center" vertical="center"/>
    </xf>
    <xf numFmtId="165" fontId="11" fillId="0" borderId="7" xfId="3" applyFont="1" applyFill="1" applyBorder="1" applyAlignment="1">
      <alignment horizontal="center" vertical="center"/>
    </xf>
    <xf numFmtId="165" fontId="11" fillId="0" borderId="6" xfId="3" applyFont="1" applyFill="1" applyBorder="1" applyAlignment="1">
      <alignment horizontal="center" vertical="center"/>
    </xf>
    <xf numFmtId="0" fontId="0" fillId="0" borderId="15" xfId="0" applyBorder="1" applyAlignment="1">
      <alignment horizontal="center" vertical="center"/>
    </xf>
    <xf numFmtId="1" fontId="0" fillId="0" borderId="15" xfId="0" applyNumberFormat="1" applyBorder="1" applyAlignment="1">
      <alignment horizontal="center" vertical="center"/>
    </xf>
    <xf numFmtId="0" fontId="0" fillId="0" borderId="48" xfId="0" applyBorder="1" applyAlignment="1">
      <alignment horizontal="center" vertical="center"/>
    </xf>
    <xf numFmtId="1" fontId="11" fillId="0" borderId="7" xfId="3" applyNumberFormat="1" applyFont="1" applyFill="1" applyBorder="1" applyAlignment="1">
      <alignment horizontal="center" vertical="center"/>
    </xf>
    <xf numFmtId="1" fontId="11" fillId="0" borderId="6" xfId="3" applyNumberFormat="1" applyFont="1" applyFill="1" applyBorder="1" applyAlignment="1">
      <alignment horizontal="center" vertical="center"/>
    </xf>
    <xf numFmtId="1" fontId="11" fillId="0" borderId="15" xfId="3" applyNumberFormat="1" applyFont="1" applyFill="1" applyBorder="1" applyAlignment="1">
      <alignment horizontal="center" vertical="center"/>
    </xf>
    <xf numFmtId="167" fontId="9" fillId="0" borderId="53" xfId="0" applyNumberFormat="1" applyFont="1" applyBorder="1" applyAlignment="1">
      <alignment horizontal="center" vertical="center"/>
    </xf>
    <xf numFmtId="1" fontId="11" fillId="0" borderId="48" xfId="3" applyNumberFormat="1" applyFont="1" applyFill="1" applyBorder="1" applyAlignment="1">
      <alignment horizontal="center" vertical="center"/>
    </xf>
    <xf numFmtId="167" fontId="9" fillId="0" borderId="54" xfId="0" applyNumberFormat="1" applyFont="1" applyBorder="1" applyAlignment="1">
      <alignment horizontal="center" vertical="center"/>
    </xf>
    <xf numFmtId="165" fontId="11" fillId="0" borderId="15" xfId="3" applyFont="1" applyFill="1" applyBorder="1" applyAlignment="1">
      <alignment horizontal="center" vertical="center"/>
    </xf>
    <xf numFmtId="165" fontId="9" fillId="0" borderId="48" xfId="3" applyFont="1" applyFill="1" applyBorder="1" applyAlignment="1">
      <alignment horizontal="center" vertical="center"/>
    </xf>
    <xf numFmtId="165" fontId="11" fillId="0" borderId="48" xfId="3" applyFont="1" applyFill="1" applyBorder="1" applyAlignment="1">
      <alignment horizontal="center" vertical="center"/>
    </xf>
    <xf numFmtId="0" fontId="68" fillId="8" borderId="7" xfId="0" applyFont="1" applyFill="1" applyBorder="1" applyAlignment="1" applyProtection="1">
      <alignment horizontal="center"/>
      <protection locked="0"/>
    </xf>
    <xf numFmtId="0" fontId="34" fillId="0" borderId="0" xfId="0" quotePrefix="1" applyFont="1" applyAlignment="1">
      <alignment horizontal="right"/>
    </xf>
    <xf numFmtId="0" fontId="34" fillId="0" borderId="0" xfId="0" applyFont="1" applyAlignment="1">
      <alignment horizontal="left" vertical="top" wrapText="1"/>
    </xf>
    <xf numFmtId="0" fontId="34" fillId="0" borderId="0" xfId="0" applyFont="1" applyAlignment="1">
      <alignment vertical="center" wrapText="1"/>
    </xf>
    <xf numFmtId="0" fontId="34" fillId="0" borderId="7" xfId="0" applyFont="1" applyBorder="1"/>
    <xf numFmtId="0" fontId="34" fillId="0" borderId="7" xfId="0" applyFont="1" applyBorder="1" applyAlignment="1">
      <alignment horizontal="center"/>
    </xf>
    <xf numFmtId="167" fontId="34" fillId="0" borderId="7" xfId="1" applyNumberFormat="1" applyFont="1" applyBorder="1" applyAlignment="1">
      <alignment horizontal="center"/>
    </xf>
    <xf numFmtId="167" fontId="34" fillId="0" borderId="7" xfId="0" applyNumberFormat="1" applyFont="1" applyBorder="1" applyAlignment="1">
      <alignment horizontal="center"/>
    </xf>
    <xf numFmtId="0" fontId="69" fillId="0" borderId="0" xfId="0" applyFont="1" applyAlignment="1">
      <alignment vertical="center"/>
    </xf>
    <xf numFmtId="0" fontId="69" fillId="0" borderId="0" xfId="0" applyFont="1" applyAlignment="1">
      <alignment vertical="center" wrapText="1"/>
    </xf>
    <xf numFmtId="0" fontId="43" fillId="0" borderId="0" xfId="0" applyFont="1" applyAlignment="1">
      <alignment vertical="center" wrapText="1"/>
    </xf>
    <xf numFmtId="0" fontId="69" fillId="0" borderId="0" xfId="0" applyFont="1" applyAlignment="1">
      <alignment horizontal="center" vertical="center" wrapText="1"/>
    </xf>
    <xf numFmtId="0" fontId="59" fillId="0" borderId="0" xfId="0" applyFont="1" applyAlignment="1">
      <alignment vertical="top" wrapText="1"/>
    </xf>
    <xf numFmtId="0" fontId="34" fillId="0" borderId="0" xfId="0" applyFont="1" applyAlignment="1">
      <alignment horizontal="center"/>
    </xf>
    <xf numFmtId="167" fontId="34" fillId="0" borderId="0" xfId="0" applyNumberFormat="1"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0" borderId="14" xfId="0" applyBorder="1" applyAlignment="1">
      <alignment horizontal="center" wrapText="1"/>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0" fillId="0" borderId="0" xfId="0" applyAlignment="1">
      <alignment horizontal="center" wrapText="1"/>
    </xf>
    <xf numFmtId="167" fontId="11" fillId="0" borderId="1" xfId="2" applyNumberFormat="1" applyFont="1" applyBorder="1" applyAlignment="1">
      <alignment horizontal="center" vertical="center" wrapText="1"/>
    </xf>
    <xf numFmtId="167" fontId="11" fillId="0" borderId="14" xfId="2" applyNumberFormat="1" applyFont="1" applyBorder="1" applyAlignment="1">
      <alignment horizontal="center" vertical="center" wrapText="1"/>
    </xf>
    <xf numFmtId="167" fontId="11" fillId="0" borderId="6" xfId="2" applyNumberFormat="1" applyFont="1" applyBorder="1" applyAlignment="1">
      <alignment horizontal="center" vertical="center" wrapText="1"/>
    </xf>
    <xf numFmtId="167" fontId="11" fillId="0" borderId="20" xfId="2" applyNumberFormat="1" applyFont="1" applyBorder="1" applyAlignment="1">
      <alignment horizontal="center" vertical="center"/>
    </xf>
    <xf numFmtId="167" fontId="11" fillId="0" borderId="19" xfId="2" applyNumberFormat="1" applyFont="1" applyBorder="1" applyAlignment="1">
      <alignment horizontal="center" vertical="center"/>
    </xf>
    <xf numFmtId="167" fontId="11" fillId="0" borderId="22" xfId="2" applyNumberFormat="1" applyFont="1" applyBorder="1" applyAlignment="1">
      <alignment horizontal="center" vertical="center"/>
    </xf>
    <xf numFmtId="167" fontId="11" fillId="0" borderId="2" xfId="2" applyNumberFormat="1" applyFont="1" applyBorder="1" applyAlignment="1">
      <alignment horizontal="center" vertical="center"/>
    </xf>
    <xf numFmtId="167" fontId="11" fillId="0" borderId="0" xfId="2" applyNumberFormat="1" applyFont="1" applyBorder="1" applyAlignment="1">
      <alignment horizontal="center" vertical="center"/>
    </xf>
    <xf numFmtId="167" fontId="11" fillId="0" borderId="23" xfId="2" applyNumberFormat="1" applyFont="1" applyBorder="1" applyAlignment="1">
      <alignment horizontal="center" vertical="center"/>
    </xf>
    <xf numFmtId="167" fontId="11" fillId="0" borderId="21" xfId="2" applyNumberFormat="1" applyFont="1" applyBorder="1" applyAlignment="1">
      <alignment horizontal="center" vertical="center"/>
    </xf>
    <xf numFmtId="167" fontId="11" fillId="0" borderId="24" xfId="2" applyNumberFormat="1" applyFont="1" applyBorder="1" applyAlignment="1">
      <alignment horizontal="center" vertical="center"/>
    </xf>
    <xf numFmtId="167" fontId="11" fillId="0" borderId="25" xfId="2" applyNumberFormat="1" applyFont="1" applyBorder="1" applyAlignment="1">
      <alignment horizontal="center" vertical="center"/>
    </xf>
    <xf numFmtId="167" fontId="18" fillId="0" borderId="20" xfId="2" applyNumberFormat="1" applyFont="1" applyBorder="1" applyAlignment="1">
      <alignment horizontal="center" vertical="center"/>
    </xf>
    <xf numFmtId="167" fontId="18" fillId="0" borderId="19" xfId="2" applyNumberFormat="1" applyFont="1" applyBorder="1" applyAlignment="1">
      <alignment horizontal="center" vertical="center"/>
    </xf>
    <xf numFmtId="167" fontId="18" fillId="0" borderId="22" xfId="2" applyNumberFormat="1" applyFont="1" applyBorder="1" applyAlignment="1">
      <alignment horizontal="center" vertical="center"/>
    </xf>
    <xf numFmtId="167" fontId="18" fillId="0" borderId="2" xfId="2" applyNumberFormat="1" applyFont="1" applyBorder="1" applyAlignment="1">
      <alignment horizontal="center" vertical="center"/>
    </xf>
    <xf numFmtId="167" fontId="18" fillId="0" borderId="0" xfId="2" applyNumberFormat="1" applyFont="1" applyBorder="1" applyAlignment="1">
      <alignment horizontal="center" vertical="center"/>
    </xf>
    <xf numFmtId="167" fontId="18" fillId="0" borderId="23" xfId="2" applyNumberFormat="1" applyFont="1" applyBorder="1" applyAlignment="1">
      <alignment horizontal="center" vertical="center"/>
    </xf>
    <xf numFmtId="167" fontId="18" fillId="0" borderId="21" xfId="2" applyNumberFormat="1" applyFont="1" applyBorder="1" applyAlignment="1">
      <alignment horizontal="center" vertical="center"/>
    </xf>
    <xf numFmtId="167" fontId="18" fillId="0" borderId="24" xfId="2" applyNumberFormat="1" applyFont="1" applyBorder="1" applyAlignment="1">
      <alignment horizontal="center" vertical="center"/>
    </xf>
    <xf numFmtId="167" fontId="18" fillId="0" borderId="25" xfId="2" applyNumberFormat="1" applyFont="1" applyBorder="1" applyAlignment="1">
      <alignment horizontal="center" vertical="center"/>
    </xf>
    <xf numFmtId="167" fontId="11" fillId="0" borderId="20" xfId="2" applyNumberFormat="1" applyFont="1" applyFill="1" applyBorder="1" applyAlignment="1">
      <alignment horizontal="center" vertical="center" wrapText="1"/>
    </xf>
    <xf numFmtId="167" fontId="11" fillId="0" borderId="22" xfId="2" applyNumberFormat="1" applyFont="1" applyFill="1" applyBorder="1" applyAlignment="1">
      <alignment horizontal="center" vertical="center" wrapText="1"/>
    </xf>
    <xf numFmtId="167" fontId="11" fillId="0" borderId="2" xfId="2" applyNumberFormat="1" applyFont="1" applyFill="1" applyBorder="1" applyAlignment="1">
      <alignment horizontal="center" vertical="center" wrapText="1"/>
    </xf>
    <xf numFmtId="167" fontId="11" fillId="0" borderId="23" xfId="2" applyNumberFormat="1" applyFont="1" applyFill="1" applyBorder="1" applyAlignment="1">
      <alignment horizontal="center" vertical="center" wrapText="1"/>
    </xf>
    <xf numFmtId="167" fontId="11" fillId="0" borderId="21" xfId="2" applyNumberFormat="1" applyFont="1" applyFill="1" applyBorder="1" applyAlignment="1">
      <alignment horizontal="center" vertical="center" wrapText="1"/>
    </xf>
    <xf numFmtId="167" fontId="11" fillId="0" borderId="25" xfId="2"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wrapText="1"/>
    </xf>
    <xf numFmtId="0" fontId="0" fillId="0" borderId="5" xfId="0" applyBorder="1" applyAlignment="1">
      <alignment horizontal="center" wrapText="1"/>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wrapText="1"/>
    </xf>
    <xf numFmtId="0" fontId="0" fillId="0" borderId="0" xfId="0" applyAlignment="1">
      <alignment horizontal="center"/>
    </xf>
    <xf numFmtId="0" fontId="0" fillId="0" borderId="2" xfId="0" applyBorder="1" applyAlignment="1">
      <alignment horizontal="center" vertical="center" wrapText="1"/>
    </xf>
    <xf numFmtId="0" fontId="0" fillId="0" borderId="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48" xfId="0" applyBorder="1" applyAlignment="1">
      <alignment horizontal="left" vertical="center"/>
    </xf>
    <xf numFmtId="0" fontId="0" fillId="0" borderId="15" xfId="0" applyBorder="1" applyAlignment="1">
      <alignment horizontal="left" vertical="center"/>
    </xf>
    <xf numFmtId="0" fontId="0" fillId="0" borderId="6" xfId="0" applyBorder="1" applyAlignment="1">
      <alignment horizontal="left" vertical="center"/>
    </xf>
    <xf numFmtId="1" fontId="9" fillId="0" borderId="48" xfId="0" applyNumberFormat="1" applyFont="1" applyBorder="1" applyAlignment="1">
      <alignment horizontal="center" vertical="center"/>
    </xf>
    <xf numFmtId="1" fontId="9" fillId="0" borderId="15" xfId="0" applyNumberFormat="1" applyFont="1" applyBorder="1" applyAlignment="1">
      <alignment horizontal="center" vertical="center"/>
    </xf>
    <xf numFmtId="1" fontId="9" fillId="0" borderId="6" xfId="0" applyNumberFormat="1" applyFont="1" applyBorder="1" applyAlignment="1">
      <alignment horizontal="center" vertical="center"/>
    </xf>
    <xf numFmtId="167" fontId="9" fillId="0" borderId="48" xfId="0" applyNumberFormat="1" applyFont="1" applyBorder="1" applyAlignment="1">
      <alignment horizontal="center" vertical="center"/>
    </xf>
    <xf numFmtId="167" fontId="9" fillId="0" borderId="15" xfId="0" applyNumberFormat="1" applyFont="1" applyBorder="1" applyAlignment="1">
      <alignment horizontal="center" vertical="center"/>
    </xf>
    <xf numFmtId="167" fontId="9" fillId="0" borderId="6" xfId="0" applyNumberFormat="1" applyFont="1" applyBorder="1" applyAlignment="1">
      <alignment horizontal="center" vertical="center"/>
    </xf>
    <xf numFmtId="0" fontId="0" fillId="0" borderId="52" xfId="0" applyBorder="1" applyAlignment="1">
      <alignment horizontal="left" vertical="center"/>
    </xf>
    <xf numFmtId="0" fontId="0" fillId="0" borderId="16" xfId="0" applyBorder="1" applyAlignment="1">
      <alignment horizontal="left" vertical="center"/>
    </xf>
    <xf numFmtId="0" fontId="0" fillId="0" borderId="24" xfId="0" applyBorder="1" applyAlignment="1">
      <alignment horizontal="center"/>
    </xf>
    <xf numFmtId="0" fontId="9" fillId="0" borderId="1" xfId="0" applyFont="1" applyBorder="1" applyAlignment="1">
      <alignment horizontal="left" vertical="top"/>
    </xf>
    <xf numFmtId="0" fontId="9" fillId="0" borderId="14" xfId="0" applyFont="1" applyBorder="1" applyAlignment="1">
      <alignment horizontal="left" vertical="top"/>
    </xf>
    <xf numFmtId="0" fontId="9" fillId="0" borderId="6" xfId="0" applyFont="1" applyBorder="1" applyAlignment="1">
      <alignment horizontal="left" vertical="top"/>
    </xf>
    <xf numFmtId="0" fontId="9" fillId="0" borderId="3" xfId="0" applyFont="1" applyBorder="1" applyAlignment="1">
      <alignment horizontal="center"/>
    </xf>
    <xf numFmtId="0" fontId="9" fillId="0" borderId="5" xfId="0" applyFont="1" applyBorder="1" applyAlignment="1">
      <alignment horizontal="center"/>
    </xf>
    <xf numFmtId="167" fontId="11" fillId="0" borderId="36" xfId="2" applyNumberFormat="1" applyFont="1" applyBorder="1" applyAlignment="1">
      <alignment horizontal="center" vertical="center" wrapText="1"/>
    </xf>
    <xf numFmtId="167" fontId="11" fillId="0" borderId="33" xfId="2" applyNumberFormat="1" applyFont="1" applyFill="1" applyBorder="1" applyAlignment="1">
      <alignment horizontal="center" vertical="center" wrapText="1"/>
    </xf>
    <xf numFmtId="167" fontId="11" fillId="0" borderId="35" xfId="2" applyNumberFormat="1" applyFont="1" applyFill="1" applyBorder="1" applyAlignment="1">
      <alignment horizontal="center" vertical="center" wrapText="1"/>
    </xf>
    <xf numFmtId="167" fontId="11" fillId="0" borderId="30" xfId="2" applyNumberFormat="1" applyFont="1" applyBorder="1" applyAlignment="1">
      <alignment horizontal="center" vertical="center"/>
    </xf>
    <xf numFmtId="167" fontId="11" fillId="0" borderId="31" xfId="2" applyNumberFormat="1" applyFont="1" applyBorder="1" applyAlignment="1">
      <alignment horizontal="center" vertical="center"/>
    </xf>
    <xf numFmtId="167" fontId="11" fillId="0" borderId="32" xfId="2" applyNumberFormat="1" applyFont="1" applyBorder="1" applyAlignment="1">
      <alignment horizontal="center" vertical="center"/>
    </xf>
    <xf numFmtId="167" fontId="18" fillId="0" borderId="30" xfId="2" applyNumberFormat="1" applyFont="1" applyBorder="1" applyAlignment="1">
      <alignment horizontal="center" vertical="center"/>
    </xf>
    <xf numFmtId="167" fontId="18" fillId="0" borderId="31" xfId="2" applyNumberFormat="1" applyFont="1" applyBorder="1" applyAlignment="1">
      <alignment horizontal="center" vertical="center"/>
    </xf>
    <xf numFmtId="167" fontId="18" fillId="0" borderId="32" xfId="2" applyNumberFormat="1" applyFont="1" applyBorder="1" applyAlignment="1">
      <alignment horizontal="center" vertical="center"/>
    </xf>
    <xf numFmtId="167" fontId="18" fillId="0" borderId="33" xfId="2" applyNumberFormat="1" applyFont="1" applyBorder="1" applyAlignment="1">
      <alignment horizontal="center" vertical="center"/>
    </xf>
    <xf numFmtId="167" fontId="18" fillId="0" borderId="34" xfId="2" applyNumberFormat="1" applyFont="1" applyBorder="1" applyAlignment="1">
      <alignment horizontal="center" vertical="center"/>
    </xf>
    <xf numFmtId="167" fontId="18" fillId="0" borderId="35" xfId="2" applyNumberFormat="1" applyFont="1" applyBorder="1" applyAlignment="1">
      <alignment horizontal="center" vertical="center"/>
    </xf>
    <xf numFmtId="167" fontId="11" fillId="0" borderId="20" xfId="2" applyNumberFormat="1" applyFont="1" applyBorder="1" applyAlignment="1">
      <alignment horizontal="center" vertical="center" wrapText="1"/>
    </xf>
    <xf numFmtId="167" fontId="11" fillId="0" borderId="2" xfId="2" applyNumberFormat="1" applyFont="1" applyBorder="1" applyAlignment="1">
      <alignment horizontal="center" vertical="center" wrapText="1"/>
    </xf>
    <xf numFmtId="167" fontId="11" fillId="0" borderId="30" xfId="2" applyNumberFormat="1" applyFont="1" applyBorder="1" applyAlignment="1">
      <alignment horizontal="center" vertical="center" wrapText="1"/>
    </xf>
    <xf numFmtId="167" fontId="11" fillId="0" borderId="30" xfId="2" applyNumberFormat="1" applyFont="1" applyFill="1" applyBorder="1" applyAlignment="1">
      <alignment horizontal="center" vertical="center" wrapText="1"/>
    </xf>
    <xf numFmtId="167" fontId="11" fillId="0" borderId="32" xfId="2" applyNumberFormat="1" applyFont="1" applyFill="1" applyBorder="1" applyAlignment="1">
      <alignment horizontal="center" vertical="center" wrapText="1"/>
    </xf>
    <xf numFmtId="167" fontId="11" fillId="0" borderId="33" xfId="2" applyNumberFormat="1" applyFont="1" applyBorder="1" applyAlignment="1">
      <alignment horizontal="center" vertical="center"/>
    </xf>
    <xf numFmtId="167" fontId="11" fillId="0" borderId="34" xfId="2" applyNumberFormat="1" applyFont="1" applyBorder="1" applyAlignment="1">
      <alignment horizontal="center" vertical="center"/>
    </xf>
    <xf numFmtId="167" fontId="11" fillId="0" borderId="35" xfId="2" applyNumberFormat="1" applyFont="1" applyBorder="1" applyAlignment="1">
      <alignment horizontal="center" vertical="center"/>
    </xf>
    <xf numFmtId="0" fontId="46" fillId="4" borderId="0" xfId="0" applyFont="1" applyFill="1" applyAlignment="1">
      <alignment horizontal="center" vertical="center" wrapText="1"/>
    </xf>
    <xf numFmtId="0" fontId="46" fillId="4" borderId="8" xfId="0" applyFont="1" applyFill="1" applyBorder="1" applyAlignment="1">
      <alignment horizontal="center" vertical="center" wrapText="1"/>
    </xf>
    <xf numFmtId="0" fontId="32" fillId="0" borderId="10" xfId="0" applyFont="1" applyBorder="1" applyAlignment="1">
      <alignment horizontal="center" wrapText="1"/>
    </xf>
    <xf numFmtId="14" fontId="32" fillId="0" borderId="0" xfId="0" applyNumberFormat="1" applyFont="1" applyAlignment="1">
      <alignment horizontal="center" wrapText="1"/>
    </xf>
    <xf numFmtId="0" fontId="50" fillId="9" borderId="0" xfId="0" applyFont="1" applyFill="1" applyAlignment="1">
      <alignment horizontal="center"/>
    </xf>
    <xf numFmtId="0" fontId="34" fillId="0" borderId="0" xfId="0" applyFont="1" applyAlignment="1">
      <alignment horizontal="left" vertical="top" wrapText="1"/>
    </xf>
    <xf numFmtId="0" fontId="34" fillId="0" borderId="7" xfId="0" applyFont="1" applyBorder="1" applyAlignment="1">
      <alignment horizontal="center" vertical="center" wrapText="1"/>
    </xf>
    <xf numFmtId="0" fontId="59" fillId="0" borderId="0" xfId="0" applyFont="1" applyAlignment="1">
      <alignment horizontal="left" vertical="top" wrapText="1"/>
    </xf>
    <xf numFmtId="0" fontId="55" fillId="0" borderId="38" xfId="0" applyFont="1" applyBorder="1" applyAlignment="1">
      <alignment horizontal="right" vertical="center"/>
    </xf>
    <xf numFmtId="0" fontId="55" fillId="0" borderId="4" xfId="0" applyFont="1" applyBorder="1" applyAlignment="1">
      <alignment horizontal="right" vertical="center"/>
    </xf>
    <xf numFmtId="0" fontId="55" fillId="7" borderId="7" xfId="0" applyFont="1" applyFill="1" applyBorder="1" applyAlignment="1">
      <alignment horizontal="center" vertical="center"/>
    </xf>
    <xf numFmtId="0" fontId="55" fillId="0" borderId="1" xfId="0" applyFont="1" applyBorder="1" applyAlignment="1">
      <alignment horizontal="center" vertical="center" wrapText="1"/>
    </xf>
    <xf numFmtId="0" fontId="55" fillId="0" borderId="6" xfId="0" applyFont="1" applyBorder="1" applyAlignment="1">
      <alignment horizontal="center" vertical="center" wrapText="1"/>
    </xf>
    <xf numFmtId="0" fontId="32" fillId="0" borderId="0" xfId="0" applyFont="1" applyAlignment="1">
      <alignment horizontal="right"/>
    </xf>
    <xf numFmtId="0" fontId="32" fillId="0" borderId="0" xfId="0" applyFont="1" applyAlignment="1">
      <alignment horizontal="center"/>
    </xf>
    <xf numFmtId="0" fontId="55" fillId="7" borderId="38" xfId="0" applyFont="1" applyFill="1" applyBorder="1" applyAlignment="1">
      <alignment horizontal="center" vertical="center"/>
    </xf>
    <xf numFmtId="0" fontId="55" fillId="7" borderId="5" xfId="0" applyFont="1" applyFill="1" applyBorder="1" applyAlignment="1">
      <alignment horizontal="center" vertical="center"/>
    </xf>
    <xf numFmtId="0" fontId="0" fillId="0" borderId="0" xfId="0" applyAlignment="1">
      <alignment horizontal="left" vertical="center" wrapText="1"/>
    </xf>
    <xf numFmtId="0" fontId="39" fillId="9" borderId="0" xfId="0" applyFont="1" applyFill="1" applyAlignment="1">
      <alignment horizontal="left" vertical="center" wrapText="1"/>
    </xf>
    <xf numFmtId="0" fontId="55" fillId="7" borderId="3" xfId="0" applyFont="1" applyFill="1" applyBorder="1" applyAlignment="1">
      <alignment horizontal="center" vertical="center"/>
    </xf>
    <xf numFmtId="0" fontId="55" fillId="0" borderId="14" xfId="0" applyFont="1" applyBorder="1" applyAlignment="1">
      <alignment horizontal="center" vertical="center" wrapText="1"/>
    </xf>
    <xf numFmtId="0" fontId="55" fillId="0" borderId="3" xfId="0" applyFont="1" applyBorder="1" applyAlignment="1">
      <alignment horizontal="righ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9" fillId="0" borderId="0" xfId="0" applyFont="1" applyAlignment="1">
      <alignment horizontal="left" wrapText="1"/>
    </xf>
    <xf numFmtId="0" fontId="59" fillId="0" borderId="24" xfId="0" applyFont="1" applyBorder="1" applyAlignment="1">
      <alignment horizontal="left" vertical="top" wrapText="1"/>
    </xf>
    <xf numFmtId="167" fontId="0" fillId="0" borderId="0" xfId="0" applyNumberFormat="1" applyAlignment="1">
      <alignment horizontal="left" vertical="center" wrapText="1"/>
    </xf>
    <xf numFmtId="0" fontId="55" fillId="7" borderId="39" xfId="0" applyFont="1" applyFill="1" applyBorder="1" applyAlignment="1">
      <alignment horizontal="center" vertical="center" wrapText="1"/>
    </xf>
    <xf numFmtId="0" fontId="55" fillId="7" borderId="40"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5" fillId="7" borderId="6" xfId="0" applyFont="1" applyFill="1" applyBorder="1" applyAlignment="1">
      <alignment horizontal="center" vertical="center" wrapText="1"/>
    </xf>
    <xf numFmtId="0" fontId="55" fillId="0" borderId="5" xfId="0" applyFont="1" applyBorder="1" applyAlignment="1">
      <alignment horizontal="center" vertical="center"/>
    </xf>
    <xf numFmtId="0" fontId="0" fillId="0" borderId="7" xfId="0" applyBorder="1" applyAlignment="1">
      <alignment horizontal="center" vertical="center"/>
    </xf>
    <xf numFmtId="0" fontId="32" fillId="0" borderId="0" xfId="0" applyFont="1" applyAlignment="1">
      <alignment horizontal="left" wrapText="1"/>
    </xf>
    <xf numFmtId="0" fontId="35" fillId="0" borderId="0" xfId="0" applyFont="1" applyAlignment="1">
      <alignment horizontal="left"/>
    </xf>
    <xf numFmtId="0" fontId="37" fillId="0" borderId="7"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37" fillId="0" borderId="5" xfId="0" applyFont="1" applyBorder="1" applyAlignment="1">
      <alignment horizont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9" fillId="9" borderId="19" xfId="0" applyFont="1" applyFill="1" applyBorder="1" applyAlignment="1">
      <alignment horizontal="left" vertical="center" wrapText="1"/>
    </xf>
    <xf numFmtId="0" fontId="50" fillId="9" borderId="0" xfId="0" applyFont="1" applyFill="1" applyAlignment="1">
      <alignment horizontal="center" vertical="center"/>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7" borderId="3" xfId="0" applyFill="1" applyBorder="1" applyAlignment="1">
      <alignment horizontal="center" vertical="center"/>
    </xf>
    <xf numFmtId="0" fontId="0" fillId="7" borderId="5" xfId="0" applyFill="1" applyBorder="1" applyAlignment="1">
      <alignment horizontal="center" vertical="center"/>
    </xf>
    <xf numFmtId="0" fontId="0" fillId="0" borderId="1" xfId="0" applyBorder="1" applyAlignment="1">
      <alignment horizontal="center" wrapText="1"/>
    </xf>
    <xf numFmtId="0" fontId="0" fillId="0" borderId="6"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7" borderId="7" xfId="0" applyFill="1" applyBorder="1" applyAlignment="1">
      <alignment horizontal="center" vertical="center" wrapText="1"/>
    </xf>
    <xf numFmtId="0" fontId="0" fillId="0" borderId="0" xfId="0" applyAlignment="1">
      <alignment horizontal="left" wrapText="1"/>
    </xf>
    <xf numFmtId="0" fontId="55" fillId="7" borderId="7" xfId="0" applyFont="1" applyFill="1" applyBorder="1" applyAlignment="1">
      <alignment horizontal="center"/>
    </xf>
    <xf numFmtId="0" fontId="51" fillId="4" borderId="0" xfId="0" applyFont="1" applyFill="1" applyAlignment="1">
      <alignment horizontal="center" vertical="center" wrapText="1"/>
    </xf>
    <xf numFmtId="0" fontId="57" fillId="0" borderId="0" xfId="0" applyFont="1" applyAlignment="1">
      <alignment horizontal="center" vertical="center"/>
    </xf>
    <xf numFmtId="0" fontId="59" fillId="0" borderId="0" xfId="0" applyFont="1" applyAlignment="1">
      <alignment horizontal="center" vertical="center"/>
    </xf>
    <xf numFmtId="0" fontId="37" fillId="0" borderId="0" xfId="0" applyFont="1" applyAlignment="1">
      <alignment horizontal="center"/>
    </xf>
    <xf numFmtId="0" fontId="0" fillId="0" borderId="7" xfId="0" applyBorder="1" applyAlignment="1">
      <alignment horizontal="center" wrapText="1"/>
    </xf>
    <xf numFmtId="0" fontId="43" fillId="0" borderId="7" xfId="0" applyFont="1" applyFill="1" applyBorder="1" applyAlignment="1">
      <alignment wrapText="1"/>
    </xf>
    <xf numFmtId="0" fontId="43" fillId="0" borderId="28" xfId="0" applyFont="1" applyFill="1" applyBorder="1" applyAlignment="1">
      <alignment horizontal="left" vertical="center" wrapText="1"/>
    </xf>
    <xf numFmtId="0" fontId="43" fillId="0" borderId="7" xfId="0" applyFont="1" applyFill="1" applyBorder="1" applyAlignment="1">
      <alignment horizontal="left" vertical="center" wrapText="1"/>
    </xf>
    <xf numFmtId="0" fontId="9" fillId="0" borderId="7" xfId="0" applyFont="1" applyFill="1" applyBorder="1" applyAlignment="1">
      <alignment vertical="center" wrapText="1"/>
    </xf>
    <xf numFmtId="0" fontId="9" fillId="0" borderId="28" xfId="0" applyFont="1" applyFill="1" applyBorder="1" applyAlignment="1">
      <alignment vertical="center" wrapText="1"/>
    </xf>
    <xf numFmtId="0" fontId="43" fillId="0" borderId="28" xfId="0" applyFont="1" applyFill="1" applyBorder="1" applyAlignment="1">
      <alignment wrapText="1"/>
    </xf>
    <xf numFmtId="0" fontId="70" fillId="0" borderId="7" xfId="5" applyBorder="1" applyAlignment="1" applyProtection="1">
      <alignment horizontal="center"/>
      <protection locked="0"/>
    </xf>
  </cellXfs>
  <cellStyles count="6">
    <cellStyle name="Komma" xfId="1" builtinId="3"/>
    <cellStyle name="Komma 2" xfId="3" xr:uid="{00000000-0005-0000-0000-000001000000}"/>
    <cellStyle name="Komma 3" xfId="2" xr:uid="{00000000-0005-0000-0000-000002000000}"/>
    <cellStyle name="Link" xfId="5" builtinId="8"/>
    <cellStyle name="Prozent" xfId="4"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1.png"/><Relationship Id="rId1" Type="http://schemas.openxmlformats.org/officeDocument/2006/relationships/image" Target="../media/image37.png"/><Relationship Id="rId6" Type="http://schemas.openxmlformats.org/officeDocument/2006/relationships/image" Target="../media/image46.png"/><Relationship Id="rId5" Type="http://schemas.openxmlformats.org/officeDocument/2006/relationships/image" Target="../media/image40.png"/><Relationship Id="rId4" Type="http://schemas.openxmlformats.org/officeDocument/2006/relationships/image" Target="../media/image45.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jp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jpg"/></Relationships>
</file>

<file path=xl/drawings/_rels/drawing6.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4" Type="http://schemas.openxmlformats.org/officeDocument/2006/relationships/image" Target="../media/image2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7.jpg"/><Relationship Id="rId2" Type="http://schemas.openxmlformats.org/officeDocument/2006/relationships/image" Target="../media/image26.png"/><Relationship Id="rId1" Type="http://schemas.openxmlformats.org/officeDocument/2006/relationships/image" Target="../media/image25.png"/><Relationship Id="rId5" Type="http://schemas.openxmlformats.org/officeDocument/2006/relationships/image" Target="../media/image29.jpg"/><Relationship Id="rId4" Type="http://schemas.openxmlformats.org/officeDocument/2006/relationships/image" Target="../media/image2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2.jpg"/><Relationship Id="rId1" Type="http://schemas.openxmlformats.org/officeDocument/2006/relationships/image" Target="../media/image31.png"/></Relationships>
</file>

<file path=xl/drawings/_rels/drawing9.xml.rels><?xml version="1.0" encoding="UTF-8" standalone="yes"?>
<Relationships xmlns="http://schemas.openxmlformats.org/package/2006/relationships"><Relationship Id="rId8" Type="http://schemas.openxmlformats.org/officeDocument/2006/relationships/image" Target="../media/image38.png"/><Relationship Id="rId3" Type="http://schemas.openxmlformats.org/officeDocument/2006/relationships/image" Target="../media/image34.png"/><Relationship Id="rId7" Type="http://schemas.openxmlformats.org/officeDocument/2006/relationships/image" Target="../media/image37.png"/><Relationship Id="rId12" Type="http://schemas.openxmlformats.org/officeDocument/2006/relationships/image" Target="../media/image41.png"/><Relationship Id="rId2" Type="http://schemas.openxmlformats.org/officeDocument/2006/relationships/image" Target="../media/image33.png"/><Relationship Id="rId1" Type="http://schemas.openxmlformats.org/officeDocument/2006/relationships/image" Target="../media/image20.png"/><Relationship Id="rId6" Type="http://schemas.openxmlformats.org/officeDocument/2006/relationships/image" Target="../media/image23.png"/><Relationship Id="rId11" Type="http://schemas.openxmlformats.org/officeDocument/2006/relationships/image" Target="../media/image40.png"/><Relationship Id="rId5" Type="http://schemas.openxmlformats.org/officeDocument/2006/relationships/image" Target="../media/image36.png"/><Relationship Id="rId10" Type="http://schemas.openxmlformats.org/officeDocument/2006/relationships/image" Target="../media/image39.png"/><Relationship Id="rId4" Type="http://schemas.openxmlformats.org/officeDocument/2006/relationships/image" Target="../media/image35.png"/><Relationship Id="rId9"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1.emf"/><Relationship Id="rId1" Type="http://schemas.openxmlformats.org/officeDocument/2006/relationships/image" Target="../media/image2.emf"/><Relationship Id="rId4"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0.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0.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704850</xdr:colOff>
          <xdr:row>98</xdr:row>
          <xdr:rowOff>133350</xdr:rowOff>
        </xdr:from>
        <xdr:to>
          <xdr:col>4</xdr:col>
          <xdr:colOff>561975</xdr:colOff>
          <xdr:row>100</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53</xdr:row>
          <xdr:rowOff>180975</xdr:rowOff>
        </xdr:from>
        <xdr:to>
          <xdr:col>11</xdr:col>
          <xdr:colOff>647700</xdr:colOff>
          <xdr:row>55</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88</xdr:row>
          <xdr:rowOff>142875</xdr:rowOff>
        </xdr:from>
        <xdr:to>
          <xdr:col>9</xdr:col>
          <xdr:colOff>552450</xdr:colOff>
          <xdr:row>90</xdr:row>
          <xdr:rowOff>19050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100</xdr:row>
          <xdr:rowOff>19050</xdr:rowOff>
        </xdr:from>
        <xdr:to>
          <xdr:col>4</xdr:col>
          <xdr:colOff>561975</xdr:colOff>
          <xdr:row>101</xdr:row>
          <xdr:rowOff>9525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142</xdr:row>
          <xdr:rowOff>123825</xdr:rowOff>
        </xdr:from>
        <xdr:to>
          <xdr:col>6</xdr:col>
          <xdr:colOff>400050</xdr:colOff>
          <xdr:row>144</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144</xdr:row>
          <xdr:rowOff>19050</xdr:rowOff>
        </xdr:from>
        <xdr:to>
          <xdr:col>6</xdr:col>
          <xdr:colOff>457200</xdr:colOff>
          <xdr:row>145</xdr:row>
          <xdr:rowOff>9525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211</xdr:row>
          <xdr:rowOff>123825</xdr:rowOff>
        </xdr:from>
        <xdr:to>
          <xdr:col>5</xdr:col>
          <xdr:colOff>647700</xdr:colOff>
          <xdr:row>213</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213</xdr:row>
          <xdr:rowOff>28575</xdr:rowOff>
        </xdr:from>
        <xdr:to>
          <xdr:col>5</xdr:col>
          <xdr:colOff>676275</xdr:colOff>
          <xdr:row>214</xdr:row>
          <xdr:rowOff>19050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264</xdr:row>
          <xdr:rowOff>0</xdr:rowOff>
        </xdr:from>
        <xdr:to>
          <xdr:col>11</xdr:col>
          <xdr:colOff>619125</xdr:colOff>
          <xdr:row>275</xdr:row>
          <xdr:rowOff>228600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390</xdr:row>
          <xdr:rowOff>95250</xdr:rowOff>
        </xdr:from>
        <xdr:to>
          <xdr:col>12</xdr:col>
          <xdr:colOff>752475</xdr:colOff>
          <xdr:row>399</xdr:row>
          <xdr:rowOff>47625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187</xdr:row>
          <xdr:rowOff>9525</xdr:rowOff>
        </xdr:from>
        <xdr:to>
          <xdr:col>12</xdr:col>
          <xdr:colOff>76200</xdr:colOff>
          <xdr:row>191</xdr:row>
          <xdr:rowOff>161925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420</xdr:row>
          <xdr:rowOff>133350</xdr:rowOff>
        </xdr:from>
        <xdr:to>
          <xdr:col>4</xdr:col>
          <xdr:colOff>561975</xdr:colOff>
          <xdr:row>422</xdr:row>
          <xdr:rowOff>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422</xdr:row>
          <xdr:rowOff>19050</xdr:rowOff>
        </xdr:from>
        <xdr:to>
          <xdr:col>4</xdr:col>
          <xdr:colOff>561975</xdr:colOff>
          <xdr:row>423</xdr:row>
          <xdr:rowOff>9525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456</xdr:row>
          <xdr:rowOff>123825</xdr:rowOff>
        </xdr:from>
        <xdr:to>
          <xdr:col>6</xdr:col>
          <xdr:colOff>400050</xdr:colOff>
          <xdr:row>458</xdr:row>
          <xdr:rowOff>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458</xdr:row>
          <xdr:rowOff>19050</xdr:rowOff>
        </xdr:from>
        <xdr:to>
          <xdr:col>6</xdr:col>
          <xdr:colOff>457200</xdr:colOff>
          <xdr:row>459</xdr:row>
          <xdr:rowOff>9525</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537</xdr:row>
          <xdr:rowOff>123825</xdr:rowOff>
        </xdr:from>
        <xdr:to>
          <xdr:col>5</xdr:col>
          <xdr:colOff>647700</xdr:colOff>
          <xdr:row>539</xdr:row>
          <xdr:rowOff>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539</xdr:row>
          <xdr:rowOff>28575</xdr:rowOff>
        </xdr:from>
        <xdr:to>
          <xdr:col>5</xdr:col>
          <xdr:colOff>676275</xdr:colOff>
          <xdr:row>540</xdr:row>
          <xdr:rowOff>19050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441</xdr:row>
          <xdr:rowOff>142875</xdr:rowOff>
        </xdr:from>
        <xdr:to>
          <xdr:col>11</xdr:col>
          <xdr:colOff>581025</xdr:colOff>
          <xdr:row>445</xdr:row>
          <xdr:rowOff>66675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499</xdr:row>
          <xdr:rowOff>142875</xdr:rowOff>
        </xdr:from>
        <xdr:to>
          <xdr:col>11</xdr:col>
          <xdr:colOff>581025</xdr:colOff>
          <xdr:row>503</xdr:row>
          <xdr:rowOff>57150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582</xdr:row>
          <xdr:rowOff>0</xdr:rowOff>
        </xdr:from>
        <xdr:to>
          <xdr:col>11</xdr:col>
          <xdr:colOff>581025</xdr:colOff>
          <xdr:row>594</xdr:row>
          <xdr:rowOff>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615</xdr:row>
          <xdr:rowOff>142875</xdr:rowOff>
        </xdr:from>
        <xdr:to>
          <xdr:col>11</xdr:col>
          <xdr:colOff>581025</xdr:colOff>
          <xdr:row>623</xdr:row>
          <xdr:rowOff>66675</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632</xdr:row>
          <xdr:rowOff>133350</xdr:rowOff>
        </xdr:from>
        <xdr:to>
          <xdr:col>4</xdr:col>
          <xdr:colOff>561975</xdr:colOff>
          <xdr:row>634</xdr:row>
          <xdr:rowOff>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634</xdr:row>
          <xdr:rowOff>19050</xdr:rowOff>
        </xdr:from>
        <xdr:to>
          <xdr:col>4</xdr:col>
          <xdr:colOff>561975</xdr:colOff>
          <xdr:row>635</xdr:row>
          <xdr:rowOff>9525</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679</xdr:row>
          <xdr:rowOff>123825</xdr:rowOff>
        </xdr:from>
        <xdr:to>
          <xdr:col>6</xdr:col>
          <xdr:colOff>400050</xdr:colOff>
          <xdr:row>681</xdr:row>
          <xdr:rowOff>0</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681</xdr:row>
          <xdr:rowOff>19050</xdr:rowOff>
        </xdr:from>
        <xdr:to>
          <xdr:col>6</xdr:col>
          <xdr:colOff>457200</xdr:colOff>
          <xdr:row>682</xdr:row>
          <xdr:rowOff>9525</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829</xdr:row>
          <xdr:rowOff>123825</xdr:rowOff>
        </xdr:from>
        <xdr:to>
          <xdr:col>5</xdr:col>
          <xdr:colOff>647700</xdr:colOff>
          <xdr:row>831</xdr:row>
          <xdr:rowOff>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831</xdr:row>
          <xdr:rowOff>28575</xdr:rowOff>
        </xdr:from>
        <xdr:to>
          <xdr:col>5</xdr:col>
          <xdr:colOff>676275</xdr:colOff>
          <xdr:row>832</xdr:row>
          <xdr:rowOff>19050</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98</xdr:row>
          <xdr:rowOff>133350</xdr:rowOff>
        </xdr:from>
        <xdr:to>
          <xdr:col>4</xdr:col>
          <xdr:colOff>561975</xdr:colOff>
          <xdr:row>100</xdr:row>
          <xdr:rowOff>0</xdr:rowOff>
        </xdr:to>
        <xdr:sp macro="" textlink="">
          <xdr:nvSpPr>
            <xdr:cNvPr id="1054" name="Object 145"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88</xdr:row>
          <xdr:rowOff>142875</xdr:rowOff>
        </xdr:from>
        <xdr:to>
          <xdr:col>9</xdr:col>
          <xdr:colOff>552450</xdr:colOff>
          <xdr:row>90</xdr:row>
          <xdr:rowOff>19050</xdr:rowOff>
        </xdr:to>
        <xdr:sp macro="" textlink="">
          <xdr:nvSpPr>
            <xdr:cNvPr id="1056" name="Object 148"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100</xdr:row>
          <xdr:rowOff>19050</xdr:rowOff>
        </xdr:from>
        <xdr:to>
          <xdr:col>4</xdr:col>
          <xdr:colOff>561975</xdr:colOff>
          <xdr:row>101</xdr:row>
          <xdr:rowOff>9525</xdr:rowOff>
        </xdr:to>
        <xdr:sp macro="" textlink="">
          <xdr:nvSpPr>
            <xdr:cNvPr id="1057" name="Object 149"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142</xdr:row>
          <xdr:rowOff>123825</xdr:rowOff>
        </xdr:from>
        <xdr:to>
          <xdr:col>6</xdr:col>
          <xdr:colOff>400050</xdr:colOff>
          <xdr:row>144</xdr:row>
          <xdr:rowOff>0</xdr:rowOff>
        </xdr:to>
        <xdr:sp macro="" textlink="">
          <xdr:nvSpPr>
            <xdr:cNvPr id="1058" name="Object 150"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144</xdr:row>
          <xdr:rowOff>19050</xdr:rowOff>
        </xdr:from>
        <xdr:to>
          <xdr:col>6</xdr:col>
          <xdr:colOff>457200</xdr:colOff>
          <xdr:row>145</xdr:row>
          <xdr:rowOff>9525</xdr:rowOff>
        </xdr:to>
        <xdr:sp macro="" textlink="">
          <xdr:nvSpPr>
            <xdr:cNvPr id="1059" name="Object 15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211</xdr:row>
          <xdr:rowOff>123825</xdr:rowOff>
        </xdr:from>
        <xdr:to>
          <xdr:col>5</xdr:col>
          <xdr:colOff>647700</xdr:colOff>
          <xdr:row>213</xdr:row>
          <xdr:rowOff>0</xdr:rowOff>
        </xdr:to>
        <xdr:sp macro="" textlink="">
          <xdr:nvSpPr>
            <xdr:cNvPr id="1060" name="Object 15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213</xdr:row>
          <xdr:rowOff>28575</xdr:rowOff>
        </xdr:from>
        <xdr:to>
          <xdr:col>5</xdr:col>
          <xdr:colOff>676275</xdr:colOff>
          <xdr:row>214</xdr:row>
          <xdr:rowOff>19050</xdr:rowOff>
        </xdr:to>
        <xdr:sp macro="" textlink="">
          <xdr:nvSpPr>
            <xdr:cNvPr id="1061" name="Object 153"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264</xdr:row>
          <xdr:rowOff>0</xdr:rowOff>
        </xdr:from>
        <xdr:to>
          <xdr:col>11</xdr:col>
          <xdr:colOff>619125</xdr:colOff>
          <xdr:row>275</xdr:row>
          <xdr:rowOff>228600</xdr:rowOff>
        </xdr:to>
        <xdr:sp macro="" textlink="">
          <xdr:nvSpPr>
            <xdr:cNvPr id="1062" name="Object 154"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390</xdr:row>
          <xdr:rowOff>95250</xdr:rowOff>
        </xdr:from>
        <xdr:to>
          <xdr:col>12</xdr:col>
          <xdr:colOff>752475</xdr:colOff>
          <xdr:row>399</xdr:row>
          <xdr:rowOff>47625</xdr:rowOff>
        </xdr:to>
        <xdr:sp macro="" textlink="">
          <xdr:nvSpPr>
            <xdr:cNvPr id="1063" name="Object 155"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126</xdr:row>
          <xdr:rowOff>142875</xdr:rowOff>
        </xdr:from>
        <xdr:to>
          <xdr:col>9</xdr:col>
          <xdr:colOff>514350</xdr:colOff>
          <xdr:row>129</xdr:row>
          <xdr:rowOff>219075</xdr:rowOff>
        </xdr:to>
        <xdr:sp macro="" textlink="">
          <xdr:nvSpPr>
            <xdr:cNvPr id="1064" name="Object 157"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420</xdr:row>
          <xdr:rowOff>133350</xdr:rowOff>
        </xdr:from>
        <xdr:to>
          <xdr:col>4</xdr:col>
          <xdr:colOff>561975</xdr:colOff>
          <xdr:row>422</xdr:row>
          <xdr:rowOff>0</xdr:rowOff>
        </xdr:to>
        <xdr:sp macro="" textlink="">
          <xdr:nvSpPr>
            <xdr:cNvPr id="1065" name="Object 158"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422</xdr:row>
          <xdr:rowOff>19050</xdr:rowOff>
        </xdr:from>
        <xdr:to>
          <xdr:col>4</xdr:col>
          <xdr:colOff>561975</xdr:colOff>
          <xdr:row>423</xdr:row>
          <xdr:rowOff>9525</xdr:rowOff>
        </xdr:to>
        <xdr:sp macro="" textlink="">
          <xdr:nvSpPr>
            <xdr:cNvPr id="1066" name="Object 159"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456</xdr:row>
          <xdr:rowOff>123825</xdr:rowOff>
        </xdr:from>
        <xdr:to>
          <xdr:col>6</xdr:col>
          <xdr:colOff>400050</xdr:colOff>
          <xdr:row>458</xdr:row>
          <xdr:rowOff>0</xdr:rowOff>
        </xdr:to>
        <xdr:sp macro="" textlink="">
          <xdr:nvSpPr>
            <xdr:cNvPr id="1067" name="Object 160"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458</xdr:row>
          <xdr:rowOff>19050</xdr:rowOff>
        </xdr:from>
        <xdr:to>
          <xdr:col>6</xdr:col>
          <xdr:colOff>457200</xdr:colOff>
          <xdr:row>459</xdr:row>
          <xdr:rowOff>9525</xdr:rowOff>
        </xdr:to>
        <xdr:sp macro="" textlink="">
          <xdr:nvSpPr>
            <xdr:cNvPr id="1068" name="Object 161"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537</xdr:row>
          <xdr:rowOff>123825</xdr:rowOff>
        </xdr:from>
        <xdr:to>
          <xdr:col>5</xdr:col>
          <xdr:colOff>647700</xdr:colOff>
          <xdr:row>539</xdr:row>
          <xdr:rowOff>0</xdr:rowOff>
        </xdr:to>
        <xdr:sp macro="" textlink="">
          <xdr:nvSpPr>
            <xdr:cNvPr id="1069" name="Object 162"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539</xdr:row>
          <xdr:rowOff>28575</xdr:rowOff>
        </xdr:from>
        <xdr:to>
          <xdr:col>5</xdr:col>
          <xdr:colOff>676275</xdr:colOff>
          <xdr:row>540</xdr:row>
          <xdr:rowOff>19050</xdr:rowOff>
        </xdr:to>
        <xdr:sp macro="" textlink="">
          <xdr:nvSpPr>
            <xdr:cNvPr id="1070" name="Object 163"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441</xdr:row>
          <xdr:rowOff>142875</xdr:rowOff>
        </xdr:from>
        <xdr:to>
          <xdr:col>11</xdr:col>
          <xdr:colOff>581025</xdr:colOff>
          <xdr:row>445</xdr:row>
          <xdr:rowOff>66675</xdr:rowOff>
        </xdr:to>
        <xdr:sp macro="" textlink="">
          <xdr:nvSpPr>
            <xdr:cNvPr id="1071" name="Object 164"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499</xdr:row>
          <xdr:rowOff>142875</xdr:rowOff>
        </xdr:from>
        <xdr:to>
          <xdr:col>11</xdr:col>
          <xdr:colOff>581025</xdr:colOff>
          <xdr:row>503</xdr:row>
          <xdr:rowOff>57150</xdr:rowOff>
        </xdr:to>
        <xdr:sp macro="" textlink="">
          <xdr:nvSpPr>
            <xdr:cNvPr id="1072" name="Object 165"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582</xdr:row>
          <xdr:rowOff>0</xdr:rowOff>
        </xdr:from>
        <xdr:to>
          <xdr:col>11</xdr:col>
          <xdr:colOff>581025</xdr:colOff>
          <xdr:row>594</xdr:row>
          <xdr:rowOff>0</xdr:rowOff>
        </xdr:to>
        <xdr:sp macro="" textlink="">
          <xdr:nvSpPr>
            <xdr:cNvPr id="1073" name="Object 166"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615</xdr:row>
          <xdr:rowOff>142875</xdr:rowOff>
        </xdr:from>
        <xdr:to>
          <xdr:col>11</xdr:col>
          <xdr:colOff>581025</xdr:colOff>
          <xdr:row>623</xdr:row>
          <xdr:rowOff>66675</xdr:rowOff>
        </xdr:to>
        <xdr:sp macro="" textlink="">
          <xdr:nvSpPr>
            <xdr:cNvPr id="1074" name="Object 167"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632</xdr:row>
          <xdr:rowOff>133350</xdr:rowOff>
        </xdr:from>
        <xdr:to>
          <xdr:col>4</xdr:col>
          <xdr:colOff>561975</xdr:colOff>
          <xdr:row>634</xdr:row>
          <xdr:rowOff>0</xdr:rowOff>
        </xdr:to>
        <xdr:sp macro="" textlink="">
          <xdr:nvSpPr>
            <xdr:cNvPr id="1075" name="Object 168"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634</xdr:row>
          <xdr:rowOff>19050</xdr:rowOff>
        </xdr:from>
        <xdr:to>
          <xdr:col>4</xdr:col>
          <xdr:colOff>561975</xdr:colOff>
          <xdr:row>635</xdr:row>
          <xdr:rowOff>9525</xdr:rowOff>
        </xdr:to>
        <xdr:sp macro="" textlink="">
          <xdr:nvSpPr>
            <xdr:cNvPr id="1076" name="Object 169"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679</xdr:row>
          <xdr:rowOff>123825</xdr:rowOff>
        </xdr:from>
        <xdr:to>
          <xdr:col>6</xdr:col>
          <xdr:colOff>400050</xdr:colOff>
          <xdr:row>681</xdr:row>
          <xdr:rowOff>0</xdr:rowOff>
        </xdr:to>
        <xdr:sp macro="" textlink="">
          <xdr:nvSpPr>
            <xdr:cNvPr id="1077" name="Object 170"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681</xdr:row>
          <xdr:rowOff>19050</xdr:rowOff>
        </xdr:from>
        <xdr:to>
          <xdr:col>6</xdr:col>
          <xdr:colOff>457200</xdr:colOff>
          <xdr:row>682</xdr:row>
          <xdr:rowOff>9525</xdr:rowOff>
        </xdr:to>
        <xdr:sp macro="" textlink="">
          <xdr:nvSpPr>
            <xdr:cNvPr id="1078" name="Object 171"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829</xdr:row>
          <xdr:rowOff>123825</xdr:rowOff>
        </xdr:from>
        <xdr:to>
          <xdr:col>5</xdr:col>
          <xdr:colOff>647700</xdr:colOff>
          <xdr:row>831</xdr:row>
          <xdr:rowOff>0</xdr:rowOff>
        </xdr:to>
        <xdr:sp macro="" textlink="">
          <xdr:nvSpPr>
            <xdr:cNvPr id="1079" name="Object 172"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831</xdr:row>
          <xdr:rowOff>28575</xdr:rowOff>
        </xdr:from>
        <xdr:to>
          <xdr:col>5</xdr:col>
          <xdr:colOff>676275</xdr:colOff>
          <xdr:row>832</xdr:row>
          <xdr:rowOff>19050</xdr:rowOff>
        </xdr:to>
        <xdr:sp macro="" textlink="">
          <xdr:nvSpPr>
            <xdr:cNvPr id="1080" name="Object 173"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3</xdr:col>
      <xdr:colOff>390525</xdr:colOff>
      <xdr:row>52</xdr:row>
      <xdr:rowOff>38101</xdr:rowOff>
    </xdr:from>
    <xdr:to>
      <xdr:col>6</xdr:col>
      <xdr:colOff>95250</xdr:colOff>
      <xdr:row>54</xdr:row>
      <xdr:rowOff>362545</xdr:rowOff>
    </xdr:to>
    <xdr:pic>
      <xdr:nvPicPr>
        <xdr:cNvPr id="58" name="Grafik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stretch>
          <a:fillRect/>
        </a:stretch>
      </xdr:blipFill>
      <xdr:spPr>
        <a:xfrm>
          <a:off x="3781425" y="12582526"/>
          <a:ext cx="1990725" cy="741639"/>
        </a:xfrm>
        <a:prstGeom prst="rect">
          <a:avLst/>
        </a:prstGeom>
      </xdr:spPr>
    </xdr:pic>
    <xdr:clientData/>
  </xdr:twoCellAnchor>
  <xdr:twoCellAnchor editAs="oneCell">
    <xdr:from>
      <xdr:col>2</xdr:col>
      <xdr:colOff>676275</xdr:colOff>
      <xdr:row>111</xdr:row>
      <xdr:rowOff>47625</xdr:rowOff>
    </xdr:from>
    <xdr:to>
      <xdr:col>5</xdr:col>
      <xdr:colOff>231115</xdr:colOff>
      <xdr:row>114</xdr:row>
      <xdr:rowOff>161925</xdr:rowOff>
    </xdr:to>
    <xdr:pic>
      <xdr:nvPicPr>
        <xdr:cNvPr id="59" name="Grafik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stretch>
          <a:fillRect/>
        </a:stretch>
      </xdr:blipFill>
      <xdr:spPr>
        <a:xfrm>
          <a:off x="3181350" y="10515600"/>
          <a:ext cx="1840840" cy="685800"/>
        </a:xfrm>
        <a:prstGeom prst="rect">
          <a:avLst/>
        </a:prstGeom>
      </xdr:spPr>
    </xdr:pic>
    <xdr:clientData/>
  </xdr:twoCellAnchor>
  <xdr:twoCellAnchor editAs="oneCell">
    <xdr:from>
      <xdr:col>5</xdr:col>
      <xdr:colOff>466725</xdr:colOff>
      <xdr:row>164</xdr:row>
      <xdr:rowOff>17746</xdr:rowOff>
    </xdr:from>
    <xdr:to>
      <xdr:col>7</xdr:col>
      <xdr:colOff>714375</xdr:colOff>
      <xdr:row>167</xdr:row>
      <xdr:rowOff>152400</xdr:rowOff>
    </xdr:to>
    <xdr:pic>
      <xdr:nvPicPr>
        <xdr:cNvPr id="61" name="Grafik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
        <a:stretch>
          <a:fillRect/>
        </a:stretch>
      </xdr:blipFill>
      <xdr:spPr>
        <a:xfrm>
          <a:off x="5257800" y="21906196"/>
          <a:ext cx="1895475" cy="706154"/>
        </a:xfrm>
        <a:prstGeom prst="rect">
          <a:avLst/>
        </a:prstGeom>
      </xdr:spPr>
    </xdr:pic>
    <xdr:clientData/>
  </xdr:twoCellAnchor>
  <xdr:twoCellAnchor editAs="oneCell">
    <xdr:from>
      <xdr:col>1</xdr:col>
      <xdr:colOff>390525</xdr:colOff>
      <xdr:row>430</xdr:row>
      <xdr:rowOff>57150</xdr:rowOff>
    </xdr:from>
    <xdr:to>
      <xdr:col>3</xdr:col>
      <xdr:colOff>628650</xdr:colOff>
      <xdr:row>433</xdr:row>
      <xdr:rowOff>142125</xdr:rowOff>
    </xdr:to>
    <xdr:pic>
      <xdr:nvPicPr>
        <xdr:cNvPr id="64" name="Grafik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
        <a:stretch>
          <a:fillRect/>
        </a:stretch>
      </xdr:blipFill>
      <xdr:spPr>
        <a:xfrm>
          <a:off x="2133600" y="83029425"/>
          <a:ext cx="1762125" cy="656475"/>
        </a:xfrm>
        <a:prstGeom prst="rect">
          <a:avLst/>
        </a:prstGeom>
      </xdr:spPr>
    </xdr:pic>
    <xdr:clientData/>
  </xdr:twoCellAnchor>
  <xdr:twoCellAnchor editAs="oneCell">
    <xdr:from>
      <xdr:col>4</xdr:col>
      <xdr:colOff>742950</xdr:colOff>
      <xdr:row>645</xdr:row>
      <xdr:rowOff>57150</xdr:rowOff>
    </xdr:from>
    <xdr:to>
      <xdr:col>7</xdr:col>
      <xdr:colOff>95250</xdr:colOff>
      <xdr:row>648</xdr:row>
      <xdr:rowOff>142125</xdr:rowOff>
    </xdr:to>
    <xdr:pic>
      <xdr:nvPicPr>
        <xdr:cNvPr id="65" name="Grafik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1"/>
        <a:stretch>
          <a:fillRect/>
        </a:stretch>
      </xdr:blipFill>
      <xdr:spPr>
        <a:xfrm>
          <a:off x="4772025" y="150971250"/>
          <a:ext cx="1762125" cy="6564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28575</xdr:colOff>
          <xdr:row>289</xdr:row>
          <xdr:rowOff>123825</xdr:rowOff>
        </xdr:from>
        <xdr:to>
          <xdr:col>5</xdr:col>
          <xdr:colOff>647700</xdr:colOff>
          <xdr:row>291</xdr:row>
          <xdr:rowOff>0</xdr:rowOff>
        </xdr:to>
        <xdr:sp macro="" textlink="">
          <xdr:nvSpPr>
            <xdr:cNvPr id="1176" name="Object 8"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291</xdr:row>
          <xdr:rowOff>28575</xdr:rowOff>
        </xdr:from>
        <xdr:to>
          <xdr:col>5</xdr:col>
          <xdr:colOff>676275</xdr:colOff>
          <xdr:row>292</xdr:row>
          <xdr:rowOff>19050</xdr:rowOff>
        </xdr:to>
        <xdr:sp macro="" textlink="">
          <xdr:nvSpPr>
            <xdr:cNvPr id="1177" name="Object 9"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289</xdr:row>
          <xdr:rowOff>123825</xdr:rowOff>
        </xdr:from>
        <xdr:to>
          <xdr:col>5</xdr:col>
          <xdr:colOff>647700</xdr:colOff>
          <xdr:row>291</xdr:row>
          <xdr:rowOff>0</xdr:rowOff>
        </xdr:to>
        <xdr:sp macro="" textlink="">
          <xdr:nvSpPr>
            <xdr:cNvPr id="1178" name="Object 152"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291</xdr:row>
          <xdr:rowOff>28575</xdr:rowOff>
        </xdr:from>
        <xdr:to>
          <xdr:col>5</xdr:col>
          <xdr:colOff>676275</xdr:colOff>
          <xdr:row>292</xdr:row>
          <xdr:rowOff>19050</xdr:rowOff>
        </xdr:to>
        <xdr:sp macro="" textlink="">
          <xdr:nvSpPr>
            <xdr:cNvPr id="1179" name="Object 153"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68</xdr:row>
          <xdr:rowOff>180975</xdr:rowOff>
        </xdr:from>
        <xdr:to>
          <xdr:col>11</xdr:col>
          <xdr:colOff>647700</xdr:colOff>
          <xdr:row>70</xdr:row>
          <xdr:rowOff>0</xdr:rowOff>
        </xdr:to>
        <xdr:sp macro="" textlink="">
          <xdr:nvSpPr>
            <xdr:cNvPr id="1195" name="Object 3"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3</xdr:col>
      <xdr:colOff>390525</xdr:colOff>
      <xdr:row>67</xdr:row>
      <xdr:rowOff>38101</xdr:rowOff>
    </xdr:from>
    <xdr:ext cx="1990725" cy="743544"/>
    <xdr:pic>
      <xdr:nvPicPr>
        <xdr:cNvPr id="71" name="Grafik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
        <a:stretch>
          <a:fillRect/>
        </a:stretch>
      </xdr:blipFill>
      <xdr:spPr>
        <a:xfrm>
          <a:off x="3781425" y="18402301"/>
          <a:ext cx="1990725" cy="74354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28575</xdr:colOff>
          <xdr:row>837</xdr:row>
          <xdr:rowOff>123825</xdr:rowOff>
        </xdr:from>
        <xdr:to>
          <xdr:col>5</xdr:col>
          <xdr:colOff>647700</xdr:colOff>
          <xdr:row>839</xdr:row>
          <xdr:rowOff>0</xdr:rowOff>
        </xdr:to>
        <xdr:sp macro="" textlink="">
          <xdr:nvSpPr>
            <xdr:cNvPr id="1198" name="Object 28"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839</xdr:row>
          <xdr:rowOff>28575</xdr:rowOff>
        </xdr:from>
        <xdr:to>
          <xdr:col>5</xdr:col>
          <xdr:colOff>676275</xdr:colOff>
          <xdr:row>840</xdr:row>
          <xdr:rowOff>19050</xdr:rowOff>
        </xdr:to>
        <xdr:sp macro="" textlink="">
          <xdr:nvSpPr>
            <xdr:cNvPr id="1199" name="Object 29"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837</xdr:row>
          <xdr:rowOff>123825</xdr:rowOff>
        </xdr:from>
        <xdr:to>
          <xdr:col>5</xdr:col>
          <xdr:colOff>647700</xdr:colOff>
          <xdr:row>839</xdr:row>
          <xdr:rowOff>0</xdr:rowOff>
        </xdr:to>
        <xdr:sp macro="" textlink="">
          <xdr:nvSpPr>
            <xdr:cNvPr id="1200" name="Object 172"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839</xdr:row>
          <xdr:rowOff>28575</xdr:rowOff>
        </xdr:from>
        <xdr:to>
          <xdr:col>5</xdr:col>
          <xdr:colOff>676275</xdr:colOff>
          <xdr:row>840</xdr:row>
          <xdr:rowOff>19050</xdr:rowOff>
        </xdr:to>
        <xdr:sp macro="" textlink="">
          <xdr:nvSpPr>
            <xdr:cNvPr id="1201" name="Object 173"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238126</xdr:colOff>
      <xdr:row>5</xdr:row>
      <xdr:rowOff>114300</xdr:rowOff>
    </xdr:from>
    <xdr:to>
      <xdr:col>1</xdr:col>
      <xdr:colOff>189168</xdr:colOff>
      <xdr:row>14</xdr:row>
      <xdr:rowOff>123825</xdr:rowOff>
    </xdr:to>
    <xdr:pic>
      <xdr:nvPicPr>
        <xdr:cNvPr id="4" name="Grafik 3">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8" t="-384" r="64640" b="9718"/>
        <a:stretch/>
      </xdr:blipFill>
      <xdr:spPr>
        <a:xfrm>
          <a:off x="238126" y="1609725"/>
          <a:ext cx="1913192" cy="2181225"/>
        </a:xfrm>
        <a:prstGeom prst="rect">
          <a:avLst/>
        </a:prstGeom>
      </xdr:spPr>
    </xdr:pic>
    <xdr:clientData/>
  </xdr:twoCellAnchor>
  <xdr:twoCellAnchor editAs="oneCell">
    <xdr:from>
      <xdr:col>0</xdr:col>
      <xdr:colOff>66676</xdr:colOff>
      <xdr:row>23</xdr:row>
      <xdr:rowOff>0</xdr:rowOff>
    </xdr:from>
    <xdr:to>
      <xdr:col>2</xdr:col>
      <xdr:colOff>342901</xdr:colOff>
      <xdr:row>29</xdr:row>
      <xdr:rowOff>124359</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66676" y="8124825"/>
          <a:ext cx="4019550" cy="12673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6</xdr:row>
      <xdr:rowOff>47624</xdr:rowOff>
    </xdr:from>
    <xdr:to>
      <xdr:col>2</xdr:col>
      <xdr:colOff>333375</xdr:colOff>
      <xdr:row>16</xdr:row>
      <xdr:rowOff>204185</xdr:rowOff>
    </xdr:to>
    <xdr:pic>
      <xdr:nvPicPr>
        <xdr:cNvPr id="8" name="Grafik 7">
          <a:extLst>
            <a:ext uri="{FF2B5EF4-FFF2-40B4-BE49-F238E27FC236}">
              <a16:creationId xmlns:a16="http://schemas.microsoft.com/office/drawing/2014/main" id="{00000000-0008-0000-0E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215"/>
        <a:stretch/>
      </xdr:blipFill>
      <xdr:spPr>
        <a:xfrm>
          <a:off x="47625" y="1781174"/>
          <a:ext cx="4029075" cy="2518761"/>
        </a:xfrm>
        <a:prstGeom prst="rect">
          <a:avLst/>
        </a:prstGeom>
      </xdr:spPr>
    </xdr:pic>
    <xdr:clientData/>
  </xdr:twoCellAnchor>
  <xdr:twoCellAnchor editAs="oneCell">
    <xdr:from>
      <xdr:col>0</xdr:col>
      <xdr:colOff>57150</xdr:colOff>
      <xdr:row>26</xdr:row>
      <xdr:rowOff>66675</xdr:rowOff>
    </xdr:from>
    <xdr:to>
      <xdr:col>1</xdr:col>
      <xdr:colOff>933450</xdr:colOff>
      <xdr:row>30</xdr:row>
      <xdr:rowOff>137444</xdr:rowOff>
    </xdr:to>
    <xdr:pic>
      <xdr:nvPicPr>
        <xdr:cNvPr id="9" name="Grafik 8">
          <a:extLst>
            <a:ext uri="{FF2B5EF4-FFF2-40B4-BE49-F238E27FC236}">
              <a16:creationId xmlns:a16="http://schemas.microsoft.com/office/drawing/2014/main" id="{00000000-0008-0000-0E00-000009000000}"/>
            </a:ext>
          </a:extLst>
        </xdr:cNvPr>
        <xdr:cNvPicPr>
          <a:picLocks noChangeAspect="1"/>
        </xdr:cNvPicPr>
      </xdr:nvPicPr>
      <xdr:blipFill rotWithShape="1">
        <a:blip xmlns:r="http://schemas.openxmlformats.org/officeDocument/2006/relationships" r:embed="rId2"/>
        <a:srcRect l="12029" t="6764" r="4798" b="24628"/>
        <a:stretch/>
      </xdr:blipFill>
      <xdr:spPr>
        <a:xfrm>
          <a:off x="57150" y="8677275"/>
          <a:ext cx="2838450" cy="832769"/>
        </a:xfrm>
        <a:prstGeom prst="rect">
          <a:avLst/>
        </a:prstGeom>
      </xdr:spPr>
    </xdr:pic>
    <xdr:clientData/>
  </xdr:twoCellAnchor>
  <xdr:twoCellAnchor editAs="oneCell">
    <xdr:from>
      <xdr:col>3</xdr:col>
      <xdr:colOff>1095376</xdr:colOff>
      <xdr:row>34</xdr:row>
      <xdr:rowOff>232468</xdr:rowOff>
    </xdr:from>
    <xdr:to>
      <xdr:col>6</xdr:col>
      <xdr:colOff>571500</xdr:colOff>
      <xdr:row>45</xdr:row>
      <xdr:rowOff>129878</xdr:rowOff>
    </xdr:to>
    <xdr:pic>
      <xdr:nvPicPr>
        <xdr:cNvPr id="11" name="Grafik 10">
          <a:extLst>
            <a:ext uri="{FF2B5EF4-FFF2-40B4-BE49-F238E27FC236}">
              <a16:creationId xmlns:a16="http://schemas.microsoft.com/office/drawing/2014/main" id="{00000000-0008-0000-0E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312" r="14175"/>
        <a:stretch/>
      </xdr:blipFill>
      <xdr:spPr>
        <a:xfrm>
          <a:off x="5657851" y="10700443"/>
          <a:ext cx="2905124" cy="2516785"/>
        </a:xfrm>
        <a:prstGeom prst="rect">
          <a:avLst/>
        </a:prstGeom>
      </xdr:spPr>
    </xdr:pic>
    <xdr:clientData/>
  </xdr:twoCellAnchor>
  <xdr:twoCellAnchor editAs="oneCell">
    <xdr:from>
      <xdr:col>6</xdr:col>
      <xdr:colOff>579086</xdr:colOff>
      <xdr:row>35</xdr:row>
      <xdr:rowOff>136714</xdr:rowOff>
    </xdr:from>
    <xdr:to>
      <xdr:col>9</xdr:col>
      <xdr:colOff>523875</xdr:colOff>
      <xdr:row>44</xdr:row>
      <xdr:rowOff>27620</xdr:rowOff>
    </xdr:to>
    <xdr:pic>
      <xdr:nvPicPr>
        <xdr:cNvPr id="13" name="Grafik 12">
          <a:extLst>
            <a:ext uri="{FF2B5EF4-FFF2-40B4-BE49-F238E27FC236}">
              <a16:creationId xmlns:a16="http://schemas.microsoft.com/office/drawing/2014/main" id="{00000000-0008-0000-0E00-00000D000000}"/>
            </a:ext>
          </a:extLst>
        </xdr:cNvPr>
        <xdr:cNvPicPr>
          <a:picLocks noChangeAspect="1"/>
        </xdr:cNvPicPr>
      </xdr:nvPicPr>
      <xdr:blipFill>
        <a:blip xmlns:r="http://schemas.openxmlformats.org/officeDocument/2006/relationships" r:embed="rId4"/>
        <a:stretch>
          <a:fillRect/>
        </a:stretch>
      </xdr:blipFill>
      <xdr:spPr>
        <a:xfrm>
          <a:off x="8570561" y="10842814"/>
          <a:ext cx="2402239" cy="2034031"/>
        </a:xfrm>
        <a:prstGeom prst="rect">
          <a:avLst/>
        </a:prstGeom>
      </xdr:spPr>
    </xdr:pic>
    <xdr:clientData/>
  </xdr:twoCellAnchor>
  <xdr:twoCellAnchor editAs="oneCell">
    <xdr:from>
      <xdr:col>0</xdr:col>
      <xdr:colOff>76199</xdr:colOff>
      <xdr:row>59</xdr:row>
      <xdr:rowOff>95250</xdr:rowOff>
    </xdr:from>
    <xdr:to>
      <xdr:col>7</xdr:col>
      <xdr:colOff>263251</xdr:colOff>
      <xdr:row>64</xdr:row>
      <xdr:rowOff>166927</xdr:rowOff>
    </xdr:to>
    <xdr:pic>
      <xdr:nvPicPr>
        <xdr:cNvPr id="14" name="Grafik 13">
          <a:extLst>
            <a:ext uri="{FF2B5EF4-FFF2-40B4-BE49-F238E27FC236}">
              <a16:creationId xmlns:a16="http://schemas.microsoft.com/office/drawing/2014/main" id="{00000000-0008-0000-0E00-00000E000000}"/>
            </a:ext>
          </a:extLst>
        </xdr:cNvPr>
        <xdr:cNvPicPr>
          <a:picLocks noChangeAspect="1"/>
        </xdr:cNvPicPr>
      </xdr:nvPicPr>
      <xdr:blipFill rotWithShape="1">
        <a:blip xmlns:r="http://schemas.openxmlformats.org/officeDocument/2006/relationships" r:embed="rId5"/>
        <a:srcRect r="750" b="17667"/>
        <a:stretch/>
      </xdr:blipFill>
      <xdr:spPr>
        <a:xfrm>
          <a:off x="76199" y="20183475"/>
          <a:ext cx="8997677" cy="1024177"/>
        </a:xfrm>
        <a:prstGeom prst="rect">
          <a:avLst/>
        </a:prstGeom>
      </xdr:spPr>
    </xdr:pic>
    <xdr:clientData/>
  </xdr:twoCellAnchor>
  <xdr:twoCellAnchor editAs="oneCell">
    <xdr:from>
      <xdr:col>0</xdr:col>
      <xdr:colOff>190501</xdr:colOff>
      <xdr:row>36</xdr:row>
      <xdr:rowOff>28575</xdr:rowOff>
    </xdr:from>
    <xdr:to>
      <xdr:col>3</xdr:col>
      <xdr:colOff>989996</xdr:colOff>
      <xdr:row>45</xdr:row>
      <xdr:rowOff>228600</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6"/>
        <a:srcRect l="7152" t="4988" r="3200" b="5215"/>
        <a:stretch/>
      </xdr:blipFill>
      <xdr:spPr>
        <a:xfrm>
          <a:off x="190501" y="10801350"/>
          <a:ext cx="5361970" cy="2343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657225</xdr:colOff>
          <xdr:row>24</xdr:row>
          <xdr:rowOff>104775</xdr:rowOff>
        </xdr:from>
        <xdr:to>
          <xdr:col>11</xdr:col>
          <xdr:colOff>495300</xdr:colOff>
          <xdr:row>25</xdr:row>
          <xdr:rowOff>171450</xdr:rowOff>
        </xdr:to>
        <xdr:sp macro="" textlink="">
          <xdr:nvSpPr>
            <xdr:cNvPr id="3073" name="Object 2"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9525</xdr:rowOff>
        </xdr:from>
        <xdr:to>
          <xdr:col>5</xdr:col>
          <xdr:colOff>676275</xdr:colOff>
          <xdr:row>35</xdr:row>
          <xdr:rowOff>190500</xdr:rowOff>
        </xdr:to>
        <xdr:sp macro="" textlink="">
          <xdr:nvSpPr>
            <xdr:cNvPr id="3074" name="Object 6"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95250</xdr:rowOff>
        </xdr:from>
        <xdr:to>
          <xdr:col>5</xdr:col>
          <xdr:colOff>638175</xdr:colOff>
          <xdr:row>34</xdr:row>
          <xdr:rowOff>161925</xdr:rowOff>
        </xdr:to>
        <xdr:sp macro="" textlink="">
          <xdr:nvSpPr>
            <xdr:cNvPr id="3075" name="Object 8"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111</xdr:row>
          <xdr:rowOff>123825</xdr:rowOff>
        </xdr:from>
        <xdr:to>
          <xdr:col>5</xdr:col>
          <xdr:colOff>647700</xdr:colOff>
          <xdr:row>113</xdr:row>
          <xdr:rowOff>0</xdr:rowOff>
        </xdr:to>
        <xdr:sp macro="" textlink="">
          <xdr:nvSpPr>
            <xdr:cNvPr id="3076" name="Object 10"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113</xdr:row>
          <xdr:rowOff>28575</xdr:rowOff>
        </xdr:from>
        <xdr:to>
          <xdr:col>5</xdr:col>
          <xdr:colOff>676275</xdr:colOff>
          <xdr:row>114</xdr:row>
          <xdr:rowOff>0</xdr:rowOff>
        </xdr:to>
        <xdr:sp macro="" textlink="">
          <xdr:nvSpPr>
            <xdr:cNvPr id="3077" name="Object 11"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5</xdr:col>
      <xdr:colOff>314325</xdr:colOff>
      <xdr:row>194</xdr:row>
      <xdr:rowOff>190500</xdr:rowOff>
    </xdr:from>
    <xdr:to>
      <xdr:col>9</xdr:col>
      <xdr:colOff>302717</xdr:colOff>
      <xdr:row>197</xdr:row>
      <xdr:rowOff>266700</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6029325" y="35147250"/>
          <a:ext cx="3150692" cy="1066800"/>
        </a:xfrm>
        <a:prstGeom prst="rect">
          <a:avLst/>
        </a:prstGeom>
      </xdr:spPr>
    </xdr:pic>
    <xdr:clientData/>
  </xdr:twoCellAnchor>
  <xdr:twoCellAnchor editAs="oneCell">
    <xdr:from>
      <xdr:col>5</xdr:col>
      <xdr:colOff>114300</xdr:colOff>
      <xdr:row>200</xdr:row>
      <xdr:rowOff>133351</xdr:rowOff>
    </xdr:from>
    <xdr:to>
      <xdr:col>9</xdr:col>
      <xdr:colOff>114521</xdr:colOff>
      <xdr:row>203</xdr:row>
      <xdr:rowOff>304800</xdr:rowOff>
    </xdr:to>
    <xdr:pic>
      <xdr:nvPicPr>
        <xdr:cNvPr id="10" name="Grafi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5829300" y="36280726"/>
          <a:ext cx="3162521" cy="1895474"/>
        </a:xfrm>
        <a:prstGeom prst="rect">
          <a:avLst/>
        </a:prstGeom>
      </xdr:spPr>
    </xdr:pic>
    <xdr:clientData/>
  </xdr:twoCellAnchor>
  <xdr:twoCellAnchor editAs="oneCell">
    <xdr:from>
      <xdr:col>6</xdr:col>
      <xdr:colOff>190501</xdr:colOff>
      <xdr:row>86</xdr:row>
      <xdr:rowOff>104775</xdr:rowOff>
    </xdr:from>
    <xdr:to>
      <xdr:col>10</xdr:col>
      <xdr:colOff>507534</xdr:colOff>
      <xdr:row>90</xdr:row>
      <xdr:rowOff>533399</xdr:rowOff>
    </xdr:to>
    <xdr:pic>
      <xdr:nvPicPr>
        <xdr:cNvPr id="11" name="Grafik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stretch>
          <a:fillRect/>
        </a:stretch>
      </xdr:blipFill>
      <xdr:spPr>
        <a:xfrm>
          <a:off x="6667501" y="15897225"/>
          <a:ext cx="3422183" cy="1990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685800</xdr:colOff>
          <xdr:row>34</xdr:row>
          <xdr:rowOff>161925</xdr:rowOff>
        </xdr:from>
        <xdr:to>
          <xdr:col>11</xdr:col>
          <xdr:colOff>571500</xdr:colOff>
          <xdr:row>37</xdr:row>
          <xdr:rowOff>0</xdr:rowOff>
        </xdr:to>
        <xdr:sp macro="" textlink="">
          <xdr:nvSpPr>
            <xdr:cNvPr id="4097" name="Object 3"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45</xdr:row>
          <xdr:rowOff>123825</xdr:rowOff>
        </xdr:from>
        <xdr:to>
          <xdr:col>6</xdr:col>
          <xdr:colOff>400050</xdr:colOff>
          <xdr:row>47</xdr:row>
          <xdr:rowOff>0</xdr:rowOff>
        </xdr:to>
        <xdr:sp macro="" textlink="">
          <xdr:nvSpPr>
            <xdr:cNvPr id="4099" name="Object 6"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47</xdr:row>
          <xdr:rowOff>19050</xdr:rowOff>
        </xdr:from>
        <xdr:to>
          <xdr:col>6</xdr:col>
          <xdr:colOff>457200</xdr:colOff>
          <xdr:row>48</xdr:row>
          <xdr:rowOff>0</xdr:rowOff>
        </xdr:to>
        <xdr:sp macro="" textlink="">
          <xdr:nvSpPr>
            <xdr:cNvPr id="4100" name="Object 7"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116</xdr:row>
          <xdr:rowOff>9525</xdr:rowOff>
        </xdr:from>
        <xdr:to>
          <xdr:col>12</xdr:col>
          <xdr:colOff>9525</xdr:colOff>
          <xdr:row>120</xdr:row>
          <xdr:rowOff>123825</xdr:rowOff>
        </xdr:to>
        <xdr:sp macro="" textlink="">
          <xdr:nvSpPr>
            <xdr:cNvPr id="4101" name="Object 12"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173</xdr:row>
          <xdr:rowOff>123825</xdr:rowOff>
        </xdr:from>
        <xdr:to>
          <xdr:col>6</xdr:col>
          <xdr:colOff>400050</xdr:colOff>
          <xdr:row>175</xdr:row>
          <xdr:rowOff>0</xdr:rowOff>
        </xdr:to>
        <xdr:sp macro="" textlink="">
          <xdr:nvSpPr>
            <xdr:cNvPr id="4102" name="Object 2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175</xdr:row>
          <xdr:rowOff>19050</xdr:rowOff>
        </xdr:from>
        <xdr:to>
          <xdr:col>6</xdr:col>
          <xdr:colOff>457200</xdr:colOff>
          <xdr:row>176</xdr:row>
          <xdr:rowOff>0</xdr:rowOff>
        </xdr:to>
        <xdr:sp macro="" textlink="">
          <xdr:nvSpPr>
            <xdr:cNvPr id="4103" name="Object 2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45</xdr:row>
          <xdr:rowOff>123825</xdr:rowOff>
        </xdr:from>
        <xdr:to>
          <xdr:col>6</xdr:col>
          <xdr:colOff>400050</xdr:colOff>
          <xdr:row>47</xdr:row>
          <xdr:rowOff>0</xdr:rowOff>
        </xdr:to>
        <xdr:sp macro="" textlink="">
          <xdr:nvSpPr>
            <xdr:cNvPr id="4105" name="Object 150"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47</xdr:row>
          <xdr:rowOff>19050</xdr:rowOff>
        </xdr:from>
        <xdr:to>
          <xdr:col>6</xdr:col>
          <xdr:colOff>457200</xdr:colOff>
          <xdr:row>48</xdr:row>
          <xdr:rowOff>0</xdr:rowOff>
        </xdr:to>
        <xdr:sp macro="" textlink="">
          <xdr:nvSpPr>
            <xdr:cNvPr id="4106" name="Object 151"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173</xdr:row>
          <xdr:rowOff>123825</xdr:rowOff>
        </xdr:from>
        <xdr:to>
          <xdr:col>6</xdr:col>
          <xdr:colOff>400050</xdr:colOff>
          <xdr:row>175</xdr:row>
          <xdr:rowOff>0</xdr:rowOff>
        </xdr:to>
        <xdr:sp macro="" textlink="">
          <xdr:nvSpPr>
            <xdr:cNvPr id="4107" name="Object 170"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175</xdr:row>
          <xdr:rowOff>19050</xdr:rowOff>
        </xdr:from>
        <xdr:to>
          <xdr:col>6</xdr:col>
          <xdr:colOff>457200</xdr:colOff>
          <xdr:row>176</xdr:row>
          <xdr:rowOff>0</xdr:rowOff>
        </xdr:to>
        <xdr:sp macro="" textlink="">
          <xdr:nvSpPr>
            <xdr:cNvPr id="4108" name="Object 17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16</xdr:row>
      <xdr:rowOff>85727</xdr:rowOff>
    </xdr:from>
    <xdr:to>
      <xdr:col>7</xdr:col>
      <xdr:colOff>85724</xdr:colOff>
      <xdr:row>30</xdr:row>
      <xdr:rowOff>126826</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305050" y="4019552"/>
          <a:ext cx="3752849" cy="2708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133349</xdr:colOff>
      <xdr:row>131</xdr:row>
      <xdr:rowOff>0</xdr:rowOff>
    </xdr:from>
    <xdr:to>
      <xdr:col>1</xdr:col>
      <xdr:colOff>354330</xdr:colOff>
      <xdr:row>136</xdr:row>
      <xdr:rowOff>67329</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74" t="12698" r="24402"/>
        <a:stretch/>
      </xdr:blipFill>
      <xdr:spPr>
        <a:xfrm>
          <a:off x="133349" y="54111525"/>
          <a:ext cx="2162176" cy="1021734"/>
        </a:xfrm>
        <a:prstGeom prst="rect">
          <a:avLst/>
        </a:prstGeom>
      </xdr:spPr>
    </xdr:pic>
    <xdr:clientData/>
  </xdr:twoCellAnchor>
  <xdr:twoCellAnchor editAs="oneCell">
    <xdr:from>
      <xdr:col>1</xdr:col>
      <xdr:colOff>9524</xdr:colOff>
      <xdr:row>41</xdr:row>
      <xdr:rowOff>161926</xdr:rowOff>
    </xdr:from>
    <xdr:to>
      <xdr:col>2</xdr:col>
      <xdr:colOff>389254</xdr:colOff>
      <xdr:row>47</xdr:row>
      <xdr:rowOff>11431</xdr:rowOff>
    </xdr:to>
    <xdr:pic>
      <xdr:nvPicPr>
        <xdr:cNvPr id="10" name="Grafik 9">
          <a:extLst>
            <a:ext uri="{FF2B5EF4-FFF2-40B4-BE49-F238E27FC236}">
              <a16:creationId xmlns:a16="http://schemas.microsoft.com/office/drawing/2014/main" id="{00000000-0008-0000-0500-00000A000000}"/>
            </a:ext>
          </a:extLst>
        </xdr:cNvPr>
        <xdr:cNvPicPr>
          <a:picLocks noChangeAspect="1"/>
        </xdr:cNvPicPr>
      </xdr:nvPicPr>
      <xdr:blipFill rotWithShape="1">
        <a:blip xmlns:r="http://schemas.openxmlformats.org/officeDocument/2006/relationships" r:embed="rId2"/>
        <a:srcRect l="17299" r="60300"/>
        <a:stretch/>
      </xdr:blipFill>
      <xdr:spPr>
        <a:xfrm>
          <a:off x="1952624" y="15316201"/>
          <a:ext cx="2035175" cy="1066800"/>
        </a:xfrm>
        <a:prstGeom prst="rect">
          <a:avLst/>
        </a:prstGeom>
      </xdr:spPr>
    </xdr:pic>
    <xdr:clientData/>
  </xdr:twoCellAnchor>
  <xdr:twoCellAnchor editAs="oneCell">
    <xdr:from>
      <xdr:col>0</xdr:col>
      <xdr:colOff>38100</xdr:colOff>
      <xdr:row>94</xdr:row>
      <xdr:rowOff>133348</xdr:rowOff>
    </xdr:from>
    <xdr:to>
      <xdr:col>8</xdr:col>
      <xdr:colOff>622124</xdr:colOff>
      <xdr:row>106</xdr:row>
      <xdr:rowOff>163829</xdr:rowOff>
    </xdr:to>
    <xdr:pic>
      <xdr:nvPicPr>
        <xdr:cNvPr id="11" name="Grafik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 y="31146748"/>
          <a:ext cx="10326194" cy="2914651"/>
        </a:xfrm>
        <a:prstGeom prst="rect">
          <a:avLst/>
        </a:prstGeom>
      </xdr:spPr>
    </xdr:pic>
    <xdr:clientData/>
  </xdr:twoCellAnchor>
  <xdr:twoCellAnchor editAs="oneCell">
    <xdr:from>
      <xdr:col>0</xdr:col>
      <xdr:colOff>371474</xdr:colOff>
      <xdr:row>8</xdr:row>
      <xdr:rowOff>123824</xdr:rowOff>
    </xdr:from>
    <xdr:to>
      <xdr:col>8</xdr:col>
      <xdr:colOff>876300</xdr:colOff>
      <xdr:row>18</xdr:row>
      <xdr:rowOff>111441</xdr:rowOff>
    </xdr:to>
    <xdr:pic>
      <xdr:nvPicPr>
        <xdr:cNvPr id="3" name="Grafik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830" r="1209"/>
        <a:stretch/>
      </xdr:blipFill>
      <xdr:spPr>
        <a:xfrm>
          <a:off x="371474" y="2381249"/>
          <a:ext cx="10248901" cy="2578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66674</xdr:colOff>
      <xdr:row>6</xdr:row>
      <xdr:rowOff>76200</xdr:rowOff>
    </xdr:from>
    <xdr:to>
      <xdr:col>6</xdr:col>
      <xdr:colOff>133349</xdr:colOff>
      <xdr:row>13</xdr:row>
      <xdr:rowOff>152565</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66674" y="1809750"/>
          <a:ext cx="8124825" cy="1943265"/>
        </a:xfrm>
        <a:prstGeom prst="rect">
          <a:avLst/>
        </a:prstGeom>
      </xdr:spPr>
    </xdr:pic>
    <xdr:clientData/>
  </xdr:twoCellAnchor>
  <xdr:twoCellAnchor editAs="oneCell">
    <xdr:from>
      <xdr:col>0</xdr:col>
      <xdr:colOff>0</xdr:colOff>
      <xdr:row>31</xdr:row>
      <xdr:rowOff>95250</xdr:rowOff>
    </xdr:from>
    <xdr:to>
      <xdr:col>7</xdr:col>
      <xdr:colOff>1</xdr:colOff>
      <xdr:row>36</xdr:row>
      <xdr:rowOff>34164</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2"/>
        <a:srcRect r="2338" b="25758"/>
        <a:stretch/>
      </xdr:blipFill>
      <xdr:spPr>
        <a:xfrm>
          <a:off x="0" y="12325350"/>
          <a:ext cx="8877301" cy="891414"/>
        </a:xfrm>
        <a:prstGeom prst="rect">
          <a:avLst/>
        </a:prstGeom>
      </xdr:spPr>
    </xdr:pic>
    <xdr:clientData/>
  </xdr:twoCellAnchor>
  <xdr:twoCellAnchor editAs="oneCell">
    <xdr:from>
      <xdr:col>0</xdr:col>
      <xdr:colOff>123825</xdr:colOff>
      <xdr:row>71</xdr:row>
      <xdr:rowOff>116496</xdr:rowOff>
    </xdr:from>
    <xdr:to>
      <xdr:col>4</xdr:col>
      <xdr:colOff>466725</xdr:colOff>
      <xdr:row>81</xdr:row>
      <xdr:rowOff>204608</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3"/>
        <a:srcRect t="1412"/>
        <a:stretch/>
      </xdr:blipFill>
      <xdr:spPr>
        <a:xfrm>
          <a:off x="123825" y="27891396"/>
          <a:ext cx="6696075" cy="2469362"/>
        </a:xfrm>
        <a:prstGeom prst="rect">
          <a:avLst/>
        </a:prstGeom>
      </xdr:spPr>
    </xdr:pic>
    <xdr:clientData/>
  </xdr:twoCellAnchor>
  <xdr:twoCellAnchor editAs="oneCell">
    <xdr:from>
      <xdr:col>0</xdr:col>
      <xdr:colOff>0</xdr:colOff>
      <xdr:row>101</xdr:row>
      <xdr:rowOff>0</xdr:rowOff>
    </xdr:from>
    <xdr:to>
      <xdr:col>6</xdr:col>
      <xdr:colOff>1673</xdr:colOff>
      <xdr:row>107</xdr:row>
      <xdr:rowOff>9525</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9090600"/>
          <a:ext cx="8056648" cy="1152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1598084</xdr:colOff>
      <xdr:row>31</xdr:row>
      <xdr:rowOff>151342</xdr:rowOff>
    </xdr:from>
    <xdr:to>
      <xdr:col>1</xdr:col>
      <xdr:colOff>1467273</xdr:colOff>
      <xdr:row>35</xdr:row>
      <xdr:rowOff>173260</xdr:rowOff>
    </xdr:to>
    <xdr:pic>
      <xdr:nvPicPr>
        <xdr:cNvPr id="12" name="Grafik 11">
          <a:extLst>
            <a:ext uri="{FF2B5EF4-FFF2-40B4-BE49-F238E27FC236}">
              <a16:creationId xmlns:a16="http://schemas.microsoft.com/office/drawing/2014/main" id="{00000000-0008-0000-0800-00000C000000}"/>
            </a:ext>
          </a:extLst>
        </xdr:cNvPr>
        <xdr:cNvPicPr>
          <a:picLocks noChangeAspect="1"/>
        </xdr:cNvPicPr>
      </xdr:nvPicPr>
      <xdr:blipFill rotWithShape="1">
        <a:blip xmlns:r="http://schemas.openxmlformats.org/officeDocument/2006/relationships" r:embed="rId1"/>
        <a:srcRect l="43264" t="9514" r="4212" b="22882"/>
        <a:stretch/>
      </xdr:blipFill>
      <xdr:spPr>
        <a:xfrm>
          <a:off x="1598084" y="11655425"/>
          <a:ext cx="1703916" cy="787728"/>
        </a:xfrm>
        <a:prstGeom prst="rect">
          <a:avLst/>
        </a:prstGeom>
      </xdr:spPr>
    </xdr:pic>
    <xdr:clientData/>
  </xdr:twoCellAnchor>
  <xdr:twoCellAnchor editAs="oneCell">
    <xdr:from>
      <xdr:col>0</xdr:col>
      <xdr:colOff>1471084</xdr:colOff>
      <xdr:row>109</xdr:row>
      <xdr:rowOff>186268</xdr:rowOff>
    </xdr:from>
    <xdr:to>
      <xdr:col>1</xdr:col>
      <xdr:colOff>1259417</xdr:colOff>
      <xdr:row>114</xdr:row>
      <xdr:rowOff>18427</xdr:rowOff>
    </xdr:to>
    <xdr:pic>
      <xdr:nvPicPr>
        <xdr:cNvPr id="13" name="Grafik 12">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2"/>
        <a:srcRect l="38414" r="10480" b="43935"/>
        <a:stretch/>
      </xdr:blipFill>
      <xdr:spPr>
        <a:xfrm>
          <a:off x="1471084" y="38476768"/>
          <a:ext cx="1619250" cy="830802"/>
        </a:xfrm>
        <a:prstGeom prst="rect">
          <a:avLst/>
        </a:prstGeom>
      </xdr:spPr>
    </xdr:pic>
    <xdr:clientData/>
  </xdr:twoCellAnchor>
  <xdr:oneCellAnchor>
    <xdr:from>
      <xdr:col>0</xdr:col>
      <xdr:colOff>1608666</xdr:colOff>
      <xdr:row>66</xdr:row>
      <xdr:rowOff>172509</xdr:rowOff>
    </xdr:from>
    <xdr:ext cx="1776942" cy="812193"/>
    <xdr:pic>
      <xdr:nvPicPr>
        <xdr:cNvPr id="9" name="Grafik 8">
          <a:extLst>
            <a:ext uri="{FF2B5EF4-FFF2-40B4-BE49-F238E27FC236}">
              <a16:creationId xmlns:a16="http://schemas.microsoft.com/office/drawing/2014/main" id="{00000000-0008-0000-0800-000009000000}"/>
            </a:ext>
          </a:extLst>
        </xdr:cNvPr>
        <xdr:cNvPicPr>
          <a:picLocks noChangeAspect="1"/>
        </xdr:cNvPicPr>
      </xdr:nvPicPr>
      <xdr:blipFill rotWithShape="1">
        <a:blip xmlns:r="http://schemas.openxmlformats.org/officeDocument/2006/relationships" r:embed="rId1"/>
        <a:srcRect l="42623" t="9514" r="4212" b="22882"/>
        <a:stretch/>
      </xdr:blipFill>
      <xdr:spPr>
        <a:xfrm>
          <a:off x="1608666" y="22969009"/>
          <a:ext cx="1776942" cy="812193"/>
        </a:xfrm>
        <a:prstGeom prst="rect">
          <a:avLst/>
        </a:prstGeom>
      </xdr:spPr>
    </xdr:pic>
    <xdr:clientData/>
  </xdr:oneCellAnchor>
  <xdr:twoCellAnchor editAs="oneCell">
    <xdr:from>
      <xdr:col>0</xdr:col>
      <xdr:colOff>123825</xdr:colOff>
      <xdr:row>7</xdr:row>
      <xdr:rowOff>19050</xdr:rowOff>
    </xdr:from>
    <xdr:to>
      <xdr:col>2</xdr:col>
      <xdr:colOff>621810</xdr:colOff>
      <xdr:row>17</xdr:row>
      <xdr:rowOff>15240</xdr:rowOff>
    </xdr:to>
    <xdr:pic>
      <xdr:nvPicPr>
        <xdr:cNvPr id="7" name="Grafik 6">
          <a:extLst>
            <a:ext uri="{FF2B5EF4-FFF2-40B4-BE49-F238E27FC236}">
              <a16:creationId xmlns:a16="http://schemas.microsoft.com/office/drawing/2014/main" id="{00000000-0008-0000-0800-00000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42" r="48775"/>
        <a:stretch/>
      </xdr:blipFill>
      <xdr:spPr>
        <a:xfrm>
          <a:off x="123825" y="2209800"/>
          <a:ext cx="3982230" cy="2362200"/>
        </a:xfrm>
        <a:prstGeom prst="rect">
          <a:avLst/>
        </a:prstGeom>
      </xdr:spPr>
    </xdr:pic>
    <xdr:clientData/>
  </xdr:twoCellAnchor>
  <xdr:twoCellAnchor editAs="oneCell">
    <xdr:from>
      <xdr:col>0</xdr:col>
      <xdr:colOff>285750</xdr:colOff>
      <xdr:row>41</xdr:row>
      <xdr:rowOff>171451</xdr:rowOff>
    </xdr:from>
    <xdr:to>
      <xdr:col>8</xdr:col>
      <xdr:colOff>571500</xdr:colOff>
      <xdr:row>52</xdr:row>
      <xdr:rowOff>220243</xdr:rowOff>
    </xdr:to>
    <xdr:pic>
      <xdr:nvPicPr>
        <xdr:cNvPr id="15" name="Grafik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5750" y="14192251"/>
          <a:ext cx="9248775" cy="2651022"/>
        </a:xfrm>
        <a:prstGeom prst="rect">
          <a:avLst/>
        </a:prstGeom>
      </xdr:spPr>
    </xdr:pic>
    <xdr:clientData/>
  </xdr:twoCellAnchor>
  <xdr:twoCellAnchor editAs="oneCell">
    <xdr:from>
      <xdr:col>0</xdr:col>
      <xdr:colOff>57150</xdr:colOff>
      <xdr:row>77</xdr:row>
      <xdr:rowOff>104775</xdr:rowOff>
    </xdr:from>
    <xdr:to>
      <xdr:col>8</xdr:col>
      <xdr:colOff>646942</xdr:colOff>
      <xdr:row>89</xdr:row>
      <xdr:rowOff>190500</xdr:rowOff>
    </xdr:to>
    <xdr:pic>
      <xdr:nvPicPr>
        <xdr:cNvPr id="17" name="Grafik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7150" y="25355550"/>
          <a:ext cx="9552817" cy="2943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1800225</xdr:colOff>
      <xdr:row>26</xdr:row>
      <xdr:rowOff>123826</xdr:rowOff>
    </xdr:from>
    <xdr:to>
      <xdr:col>2</xdr:col>
      <xdr:colOff>714375</xdr:colOff>
      <xdr:row>32</xdr:row>
      <xdr:rowOff>85725</xdr:rowOff>
    </xdr:to>
    <xdr:pic>
      <xdr:nvPicPr>
        <xdr:cNvPr id="11" name="Grafik 10">
          <a:extLst>
            <a:ext uri="{FF2B5EF4-FFF2-40B4-BE49-F238E27FC236}">
              <a16:creationId xmlns:a16="http://schemas.microsoft.com/office/drawing/2014/main" id="{00000000-0008-0000-0A00-00000B000000}"/>
            </a:ext>
          </a:extLst>
        </xdr:cNvPr>
        <xdr:cNvPicPr>
          <a:picLocks noChangeAspect="1"/>
        </xdr:cNvPicPr>
      </xdr:nvPicPr>
      <xdr:blipFill rotWithShape="1">
        <a:blip xmlns:r="http://schemas.openxmlformats.org/officeDocument/2006/relationships" r:embed="rId1"/>
        <a:srcRect l="39895" r="5762" b="28805"/>
        <a:stretch/>
      </xdr:blipFill>
      <xdr:spPr>
        <a:xfrm>
          <a:off x="1800225" y="10125076"/>
          <a:ext cx="2400300" cy="1104899"/>
        </a:xfrm>
        <a:prstGeom prst="rect">
          <a:avLst/>
        </a:prstGeom>
      </xdr:spPr>
    </xdr:pic>
    <xdr:clientData/>
  </xdr:twoCellAnchor>
  <xdr:twoCellAnchor editAs="oneCell">
    <xdr:from>
      <xdr:col>0</xdr:col>
      <xdr:colOff>0</xdr:colOff>
      <xdr:row>5</xdr:row>
      <xdr:rowOff>257174</xdr:rowOff>
    </xdr:from>
    <xdr:to>
      <xdr:col>1</xdr:col>
      <xdr:colOff>1216028</xdr:colOff>
      <xdr:row>15</xdr:row>
      <xdr:rowOff>38099</xdr:rowOff>
    </xdr:to>
    <xdr:pic>
      <xdr:nvPicPr>
        <xdr:cNvPr id="5" name="Grafik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804" r="63358"/>
        <a:stretch/>
      </xdr:blipFill>
      <xdr:spPr>
        <a:xfrm>
          <a:off x="0" y="1752599"/>
          <a:ext cx="3044828" cy="22193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142874</xdr:colOff>
      <xdr:row>5</xdr:row>
      <xdr:rowOff>133351</xdr:rowOff>
    </xdr:from>
    <xdr:to>
      <xdr:col>16</xdr:col>
      <xdr:colOff>628650</xdr:colOff>
      <xdr:row>13</xdr:row>
      <xdr:rowOff>95416</xdr:rowOff>
    </xdr:to>
    <xdr:pic>
      <xdr:nvPicPr>
        <xdr:cNvPr id="3" name="Grafik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142874" y="1409701"/>
          <a:ext cx="7172326" cy="1943265"/>
        </a:xfrm>
        <a:prstGeom prst="rect">
          <a:avLst/>
        </a:prstGeom>
      </xdr:spPr>
    </xdr:pic>
    <xdr:clientData/>
  </xdr:twoCellAnchor>
  <xdr:twoCellAnchor editAs="oneCell">
    <xdr:from>
      <xdr:col>10</xdr:col>
      <xdr:colOff>38103</xdr:colOff>
      <xdr:row>101</xdr:row>
      <xdr:rowOff>38102</xdr:rowOff>
    </xdr:from>
    <xdr:to>
      <xdr:col>10</xdr:col>
      <xdr:colOff>1534543</xdr:colOff>
      <xdr:row>107</xdr:row>
      <xdr:rowOff>142876</xdr:rowOff>
    </xdr:to>
    <xdr:pic>
      <xdr:nvPicPr>
        <xdr:cNvPr id="5" name="Grafik 4">
          <a:extLst>
            <a:ext uri="{FF2B5EF4-FFF2-40B4-BE49-F238E27FC236}">
              <a16:creationId xmlns:a16="http://schemas.microsoft.com/office/drawing/2014/main" id="{00000000-0008-0000-0C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3039"/>
        <a:stretch/>
      </xdr:blipFill>
      <xdr:spPr>
        <a:xfrm>
          <a:off x="38103" y="44472227"/>
          <a:ext cx="1496440" cy="1533524"/>
        </a:xfrm>
        <a:prstGeom prst="rect">
          <a:avLst/>
        </a:prstGeom>
      </xdr:spPr>
    </xdr:pic>
    <xdr:clientData/>
  </xdr:twoCellAnchor>
  <xdr:twoCellAnchor editAs="oneCell">
    <xdr:from>
      <xdr:col>10</xdr:col>
      <xdr:colOff>104775</xdr:colOff>
      <xdr:row>157</xdr:row>
      <xdr:rowOff>200025</xdr:rowOff>
    </xdr:from>
    <xdr:to>
      <xdr:col>11</xdr:col>
      <xdr:colOff>1447800</xdr:colOff>
      <xdr:row>169</xdr:row>
      <xdr:rowOff>90359</xdr:rowOff>
    </xdr:to>
    <xdr:pic>
      <xdr:nvPicPr>
        <xdr:cNvPr id="8" name="Grafik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312" r="14175"/>
        <a:stretch/>
      </xdr:blipFill>
      <xdr:spPr>
        <a:xfrm>
          <a:off x="104775" y="61950600"/>
          <a:ext cx="3171825" cy="2747834"/>
        </a:xfrm>
        <a:prstGeom prst="rect">
          <a:avLst/>
        </a:prstGeom>
      </xdr:spPr>
    </xdr:pic>
    <xdr:clientData/>
  </xdr:twoCellAnchor>
  <xdr:twoCellAnchor editAs="oneCell">
    <xdr:from>
      <xdr:col>11</xdr:col>
      <xdr:colOff>1343026</xdr:colOff>
      <xdr:row>157</xdr:row>
      <xdr:rowOff>209550</xdr:rowOff>
    </xdr:from>
    <xdr:to>
      <xdr:col>16</xdr:col>
      <xdr:colOff>238126</xdr:colOff>
      <xdr:row>168</xdr:row>
      <xdr:rowOff>144952</xdr:rowOff>
    </xdr:to>
    <xdr:pic>
      <xdr:nvPicPr>
        <xdr:cNvPr id="9" name="Grafik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71826" y="61960125"/>
          <a:ext cx="3752850" cy="2554777"/>
        </a:xfrm>
        <a:prstGeom prst="rect">
          <a:avLst/>
        </a:prstGeom>
      </xdr:spPr>
    </xdr:pic>
    <xdr:clientData/>
  </xdr:twoCellAnchor>
  <xdr:twoCellAnchor editAs="oneCell">
    <xdr:from>
      <xdr:col>10</xdr:col>
      <xdr:colOff>85725</xdr:colOff>
      <xdr:row>199</xdr:row>
      <xdr:rowOff>85725</xdr:rowOff>
    </xdr:from>
    <xdr:to>
      <xdr:col>16</xdr:col>
      <xdr:colOff>255629</xdr:colOff>
      <xdr:row>209</xdr:row>
      <xdr:rowOff>161925</xdr:rowOff>
    </xdr:to>
    <xdr:pic>
      <xdr:nvPicPr>
        <xdr:cNvPr id="10" name="Grafik 9">
          <a:extLst>
            <a:ext uri="{FF2B5EF4-FFF2-40B4-BE49-F238E27FC236}">
              <a16:creationId xmlns:a16="http://schemas.microsoft.com/office/drawing/2014/main" id="{00000000-0008-0000-0C00-00000A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1149"/>
        <a:stretch/>
      </xdr:blipFill>
      <xdr:spPr>
        <a:xfrm>
          <a:off x="85725" y="70170675"/>
          <a:ext cx="6856454" cy="2457450"/>
        </a:xfrm>
        <a:prstGeom prst="rect">
          <a:avLst/>
        </a:prstGeom>
      </xdr:spPr>
    </xdr:pic>
    <xdr:clientData/>
  </xdr:twoCellAnchor>
  <xdr:twoCellAnchor editAs="oneCell">
    <xdr:from>
      <xdr:col>0</xdr:col>
      <xdr:colOff>0</xdr:colOff>
      <xdr:row>228</xdr:row>
      <xdr:rowOff>0</xdr:rowOff>
    </xdr:from>
    <xdr:to>
      <xdr:col>17</xdr:col>
      <xdr:colOff>608098</xdr:colOff>
      <xdr:row>234</xdr:row>
      <xdr:rowOff>9525</xdr:rowOff>
    </xdr:to>
    <xdr:pic>
      <xdr:nvPicPr>
        <xdr:cNvPr id="11" name="Grafik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83258025"/>
          <a:ext cx="8056648" cy="1152525"/>
        </a:xfrm>
        <a:prstGeom prst="rect">
          <a:avLst/>
        </a:prstGeom>
      </xdr:spPr>
    </xdr:pic>
    <xdr:clientData/>
  </xdr:twoCellAnchor>
  <xdr:twoCellAnchor editAs="oneCell">
    <xdr:from>
      <xdr:col>10</xdr:col>
      <xdr:colOff>28575</xdr:colOff>
      <xdr:row>123</xdr:row>
      <xdr:rowOff>19051</xdr:rowOff>
    </xdr:from>
    <xdr:to>
      <xdr:col>11</xdr:col>
      <xdr:colOff>1612736</xdr:colOff>
      <xdr:row>132</xdr:row>
      <xdr:rowOff>9526</xdr:rowOff>
    </xdr:to>
    <xdr:pic>
      <xdr:nvPicPr>
        <xdr:cNvPr id="13" name="Grafik 12">
          <a:extLst>
            <a:ext uri="{FF2B5EF4-FFF2-40B4-BE49-F238E27FC236}">
              <a16:creationId xmlns:a16="http://schemas.microsoft.com/office/drawing/2014/main" id="{00000000-0008-0000-0C00-00000D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5215"/>
        <a:stretch/>
      </xdr:blipFill>
      <xdr:spPr>
        <a:xfrm>
          <a:off x="28575" y="51977926"/>
          <a:ext cx="3412961" cy="2133600"/>
        </a:xfrm>
        <a:prstGeom prst="rect">
          <a:avLst/>
        </a:prstGeom>
      </xdr:spPr>
    </xdr:pic>
    <xdr:clientData/>
  </xdr:twoCellAnchor>
  <xdr:twoCellAnchor editAs="oneCell">
    <xdr:from>
      <xdr:col>10</xdr:col>
      <xdr:colOff>133350</xdr:colOff>
      <xdr:row>148</xdr:row>
      <xdr:rowOff>85725</xdr:rowOff>
    </xdr:from>
    <xdr:to>
      <xdr:col>13</xdr:col>
      <xdr:colOff>875502</xdr:colOff>
      <xdr:row>157</xdr:row>
      <xdr:rowOff>219075</xdr:rowOff>
    </xdr:to>
    <xdr:pic>
      <xdr:nvPicPr>
        <xdr:cNvPr id="15" name="Grafik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33350" y="61350525"/>
          <a:ext cx="4990302" cy="2276475"/>
        </a:xfrm>
        <a:prstGeom prst="rect">
          <a:avLst/>
        </a:prstGeom>
      </xdr:spPr>
    </xdr:pic>
    <xdr:clientData/>
  </xdr:twoCellAnchor>
  <xdr:twoCellAnchor editAs="oneCell">
    <xdr:from>
      <xdr:col>0</xdr:col>
      <xdr:colOff>1</xdr:colOff>
      <xdr:row>30</xdr:row>
      <xdr:rowOff>95251</xdr:rowOff>
    </xdr:from>
    <xdr:to>
      <xdr:col>18</xdr:col>
      <xdr:colOff>666751</xdr:colOff>
      <xdr:row>35</xdr:row>
      <xdr:rowOff>34165</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9"/>
        <a:srcRect r="2338" b="25758"/>
        <a:stretch/>
      </xdr:blipFill>
      <xdr:spPr>
        <a:xfrm>
          <a:off x="1" y="11668126"/>
          <a:ext cx="8877300" cy="891414"/>
        </a:xfrm>
        <a:prstGeom prst="rect">
          <a:avLst/>
        </a:prstGeom>
      </xdr:spPr>
    </xdr:pic>
    <xdr:clientData/>
  </xdr:twoCellAnchor>
  <xdr:twoCellAnchor editAs="oneCell">
    <xdr:from>
      <xdr:col>10</xdr:col>
      <xdr:colOff>9526</xdr:colOff>
      <xdr:row>116</xdr:row>
      <xdr:rowOff>47626</xdr:rowOff>
    </xdr:from>
    <xdr:to>
      <xdr:col>11</xdr:col>
      <xdr:colOff>1609726</xdr:colOff>
      <xdr:row>120</xdr:row>
      <xdr:rowOff>185036</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0"/>
        <a:srcRect r="8029" b="20432"/>
        <a:stretch/>
      </xdr:blipFill>
      <xdr:spPr>
        <a:xfrm>
          <a:off x="9526" y="50577751"/>
          <a:ext cx="3429000" cy="899410"/>
        </a:xfrm>
        <a:prstGeom prst="rect">
          <a:avLst/>
        </a:prstGeom>
      </xdr:spPr>
    </xdr:pic>
    <xdr:clientData/>
  </xdr:twoCellAnchor>
  <xdr:twoCellAnchor editAs="oneCell">
    <xdr:from>
      <xdr:col>10</xdr:col>
      <xdr:colOff>19050</xdr:colOff>
      <xdr:row>183</xdr:row>
      <xdr:rowOff>9526</xdr:rowOff>
    </xdr:from>
    <xdr:to>
      <xdr:col>17</xdr:col>
      <xdr:colOff>647700</xdr:colOff>
      <xdr:row>187</xdr:row>
      <xdr:rowOff>166928</xdr:rowOff>
    </xdr:to>
    <xdr:pic>
      <xdr:nvPicPr>
        <xdr:cNvPr id="17" name="Grafik 16">
          <a:extLst>
            <a:ext uri="{FF2B5EF4-FFF2-40B4-BE49-F238E27FC236}">
              <a16:creationId xmlns:a16="http://schemas.microsoft.com/office/drawing/2014/main" id="{00000000-0008-0000-0C00-000011000000}"/>
            </a:ext>
          </a:extLst>
        </xdr:cNvPr>
        <xdr:cNvPicPr>
          <a:picLocks noChangeAspect="1"/>
        </xdr:cNvPicPr>
      </xdr:nvPicPr>
      <xdr:blipFill rotWithShape="1">
        <a:blip xmlns:r="http://schemas.openxmlformats.org/officeDocument/2006/relationships" r:embed="rId11"/>
        <a:srcRect r="750" b="17667"/>
        <a:stretch/>
      </xdr:blipFill>
      <xdr:spPr>
        <a:xfrm>
          <a:off x="19050" y="74133076"/>
          <a:ext cx="8077200" cy="919402"/>
        </a:xfrm>
        <a:prstGeom prst="rect">
          <a:avLst/>
        </a:prstGeom>
      </xdr:spPr>
    </xdr:pic>
    <xdr:clientData/>
  </xdr:twoCellAnchor>
  <xdr:twoCellAnchor editAs="oneCell">
    <xdr:from>
      <xdr:col>10</xdr:col>
      <xdr:colOff>76200</xdr:colOff>
      <xdr:row>141</xdr:row>
      <xdr:rowOff>104774</xdr:rowOff>
    </xdr:from>
    <xdr:to>
      <xdr:col>11</xdr:col>
      <xdr:colOff>1085850</xdr:colOff>
      <xdr:row>145</xdr:row>
      <xdr:rowOff>175543</xdr:rowOff>
    </xdr:to>
    <xdr:pic>
      <xdr:nvPicPr>
        <xdr:cNvPr id="19" name="Grafik 18">
          <a:extLst>
            <a:ext uri="{FF2B5EF4-FFF2-40B4-BE49-F238E27FC236}">
              <a16:creationId xmlns:a16="http://schemas.microsoft.com/office/drawing/2014/main" id="{00000000-0008-0000-0C00-000013000000}"/>
            </a:ext>
          </a:extLst>
        </xdr:cNvPr>
        <xdr:cNvPicPr>
          <a:picLocks noChangeAspect="1"/>
        </xdr:cNvPicPr>
      </xdr:nvPicPr>
      <xdr:blipFill rotWithShape="1">
        <a:blip xmlns:r="http://schemas.openxmlformats.org/officeDocument/2006/relationships" r:embed="rId12"/>
        <a:srcRect l="12029" t="6764" r="4798" b="24628"/>
        <a:stretch/>
      </xdr:blipFill>
      <xdr:spPr>
        <a:xfrm>
          <a:off x="76200" y="58283474"/>
          <a:ext cx="2838450" cy="83276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oleObject" Target="../embeddings/oleObject14.bin"/><Relationship Id="rId21" Type="http://schemas.openxmlformats.org/officeDocument/2006/relationships/oleObject" Target="../embeddings/oleObject10.bin"/><Relationship Id="rId42" Type="http://schemas.openxmlformats.org/officeDocument/2006/relationships/oleObject" Target="../embeddings/oleObject28.bin"/><Relationship Id="rId47" Type="http://schemas.openxmlformats.org/officeDocument/2006/relationships/oleObject" Target="../embeddings/oleObject33.bin"/><Relationship Id="rId63" Type="http://schemas.openxmlformats.org/officeDocument/2006/relationships/oleObject" Target="../embeddings/oleObject49.bin"/><Relationship Id="rId68" Type="http://schemas.openxmlformats.org/officeDocument/2006/relationships/oleObject" Target="../embeddings/oleObject54.bin"/><Relationship Id="rId16" Type="http://schemas.openxmlformats.org/officeDocument/2006/relationships/oleObject" Target="../embeddings/oleObject7.bin"/><Relationship Id="rId11" Type="http://schemas.openxmlformats.org/officeDocument/2006/relationships/oleObject" Target="../embeddings/oleObject4.bin"/><Relationship Id="rId24" Type="http://schemas.openxmlformats.org/officeDocument/2006/relationships/oleObject" Target="../embeddings/oleObject12.bin"/><Relationship Id="rId32" Type="http://schemas.openxmlformats.org/officeDocument/2006/relationships/oleObject" Target="../embeddings/oleObject19.bin"/><Relationship Id="rId37" Type="http://schemas.openxmlformats.org/officeDocument/2006/relationships/oleObject" Target="../embeddings/oleObject23.bin"/><Relationship Id="rId40" Type="http://schemas.openxmlformats.org/officeDocument/2006/relationships/oleObject" Target="../embeddings/oleObject26.bin"/><Relationship Id="rId45" Type="http://schemas.openxmlformats.org/officeDocument/2006/relationships/oleObject" Target="../embeddings/oleObject31.bin"/><Relationship Id="rId53" Type="http://schemas.openxmlformats.org/officeDocument/2006/relationships/oleObject" Target="../embeddings/oleObject39.bin"/><Relationship Id="rId58" Type="http://schemas.openxmlformats.org/officeDocument/2006/relationships/oleObject" Target="../embeddings/oleObject44.bin"/><Relationship Id="rId66" Type="http://schemas.openxmlformats.org/officeDocument/2006/relationships/oleObject" Target="../embeddings/oleObject52.bin"/><Relationship Id="rId74" Type="http://schemas.openxmlformats.org/officeDocument/2006/relationships/oleObject" Target="../embeddings/oleObject60.bin"/><Relationship Id="rId5" Type="http://schemas.openxmlformats.org/officeDocument/2006/relationships/oleObject" Target="../embeddings/oleObject1.bin"/><Relationship Id="rId61" Type="http://schemas.openxmlformats.org/officeDocument/2006/relationships/oleObject" Target="../embeddings/oleObject47.bin"/><Relationship Id="rId19" Type="http://schemas.openxmlformats.org/officeDocument/2006/relationships/oleObject" Target="../embeddings/oleObject9.bin"/><Relationship Id="rId14" Type="http://schemas.openxmlformats.org/officeDocument/2006/relationships/oleObject" Target="../embeddings/oleObject6.bin"/><Relationship Id="rId22" Type="http://schemas.openxmlformats.org/officeDocument/2006/relationships/image" Target="../media/image8.emf"/><Relationship Id="rId27" Type="http://schemas.openxmlformats.org/officeDocument/2006/relationships/oleObject" Target="../embeddings/oleObject15.bin"/><Relationship Id="rId30" Type="http://schemas.openxmlformats.org/officeDocument/2006/relationships/oleObject" Target="../embeddings/oleObject18.bin"/><Relationship Id="rId35" Type="http://schemas.openxmlformats.org/officeDocument/2006/relationships/oleObject" Target="../embeddings/oleObject21.bin"/><Relationship Id="rId43" Type="http://schemas.openxmlformats.org/officeDocument/2006/relationships/oleObject" Target="../embeddings/oleObject29.bin"/><Relationship Id="rId48" Type="http://schemas.openxmlformats.org/officeDocument/2006/relationships/oleObject" Target="../embeddings/oleObject34.bin"/><Relationship Id="rId56" Type="http://schemas.openxmlformats.org/officeDocument/2006/relationships/oleObject" Target="../embeddings/oleObject42.bin"/><Relationship Id="rId64" Type="http://schemas.openxmlformats.org/officeDocument/2006/relationships/oleObject" Target="../embeddings/oleObject50.bin"/><Relationship Id="rId69" Type="http://schemas.openxmlformats.org/officeDocument/2006/relationships/oleObject" Target="../embeddings/oleObject55.bin"/><Relationship Id="rId77" Type="http://schemas.openxmlformats.org/officeDocument/2006/relationships/comments" Target="../comments1.xml"/><Relationship Id="rId8" Type="http://schemas.openxmlformats.org/officeDocument/2006/relationships/image" Target="../media/image2.emf"/><Relationship Id="rId51" Type="http://schemas.openxmlformats.org/officeDocument/2006/relationships/oleObject" Target="../embeddings/oleObject37.bin"/><Relationship Id="rId72" Type="http://schemas.openxmlformats.org/officeDocument/2006/relationships/oleObject" Target="../embeddings/oleObject58.bin"/><Relationship Id="rId3" Type="http://schemas.openxmlformats.org/officeDocument/2006/relationships/drawing" Target="../drawings/drawing1.xml"/><Relationship Id="rId12" Type="http://schemas.openxmlformats.org/officeDocument/2006/relationships/image" Target="../media/image4.emf"/><Relationship Id="rId17" Type="http://schemas.openxmlformats.org/officeDocument/2006/relationships/oleObject" Target="../embeddings/oleObject8.bin"/><Relationship Id="rId25" Type="http://schemas.openxmlformats.org/officeDocument/2006/relationships/oleObject" Target="../embeddings/oleObject13.bin"/><Relationship Id="rId33" Type="http://schemas.openxmlformats.org/officeDocument/2006/relationships/image" Target="../media/image10.emf"/><Relationship Id="rId38" Type="http://schemas.openxmlformats.org/officeDocument/2006/relationships/oleObject" Target="../embeddings/oleObject24.bin"/><Relationship Id="rId46" Type="http://schemas.openxmlformats.org/officeDocument/2006/relationships/oleObject" Target="../embeddings/oleObject32.bin"/><Relationship Id="rId59" Type="http://schemas.openxmlformats.org/officeDocument/2006/relationships/oleObject" Target="../embeddings/oleObject45.bin"/><Relationship Id="rId67" Type="http://schemas.openxmlformats.org/officeDocument/2006/relationships/oleObject" Target="../embeddings/oleObject53.bin"/><Relationship Id="rId20" Type="http://schemas.openxmlformats.org/officeDocument/2006/relationships/image" Target="../media/image7.emf"/><Relationship Id="rId41" Type="http://schemas.openxmlformats.org/officeDocument/2006/relationships/oleObject" Target="../embeddings/oleObject27.bin"/><Relationship Id="rId54" Type="http://schemas.openxmlformats.org/officeDocument/2006/relationships/oleObject" Target="../embeddings/oleObject40.bin"/><Relationship Id="rId62" Type="http://schemas.openxmlformats.org/officeDocument/2006/relationships/oleObject" Target="../embeddings/oleObject48.bin"/><Relationship Id="rId70" Type="http://schemas.openxmlformats.org/officeDocument/2006/relationships/oleObject" Target="../embeddings/oleObject56.bin"/><Relationship Id="rId75" Type="http://schemas.openxmlformats.org/officeDocument/2006/relationships/oleObject" Target="../embeddings/oleObject61.bin"/><Relationship Id="rId1" Type="http://schemas.openxmlformats.org/officeDocument/2006/relationships/printerSettings" Target="../printerSettings/printerSettings1.bin"/><Relationship Id="rId6" Type="http://schemas.openxmlformats.org/officeDocument/2006/relationships/image" Target="../media/image1.emf"/><Relationship Id="rId15" Type="http://schemas.openxmlformats.org/officeDocument/2006/relationships/image" Target="../media/image5.emf"/><Relationship Id="rId23" Type="http://schemas.openxmlformats.org/officeDocument/2006/relationships/oleObject" Target="../embeddings/oleObject11.bin"/><Relationship Id="rId28" Type="http://schemas.openxmlformats.org/officeDocument/2006/relationships/oleObject" Target="../embeddings/oleObject16.bin"/><Relationship Id="rId36" Type="http://schemas.openxmlformats.org/officeDocument/2006/relationships/oleObject" Target="../embeddings/oleObject22.bin"/><Relationship Id="rId49" Type="http://schemas.openxmlformats.org/officeDocument/2006/relationships/oleObject" Target="../embeddings/oleObject35.bin"/><Relationship Id="rId57" Type="http://schemas.openxmlformats.org/officeDocument/2006/relationships/oleObject" Target="../embeddings/oleObject43.bin"/><Relationship Id="rId10" Type="http://schemas.openxmlformats.org/officeDocument/2006/relationships/image" Target="../media/image3.emf"/><Relationship Id="rId31" Type="http://schemas.openxmlformats.org/officeDocument/2006/relationships/image" Target="../media/image9.emf"/><Relationship Id="rId44" Type="http://schemas.openxmlformats.org/officeDocument/2006/relationships/oleObject" Target="../embeddings/oleObject30.bin"/><Relationship Id="rId52" Type="http://schemas.openxmlformats.org/officeDocument/2006/relationships/oleObject" Target="../embeddings/oleObject38.bin"/><Relationship Id="rId60" Type="http://schemas.openxmlformats.org/officeDocument/2006/relationships/oleObject" Target="../embeddings/oleObject46.bin"/><Relationship Id="rId65" Type="http://schemas.openxmlformats.org/officeDocument/2006/relationships/oleObject" Target="../embeddings/oleObject51.bin"/><Relationship Id="rId73" Type="http://schemas.openxmlformats.org/officeDocument/2006/relationships/oleObject" Target="../embeddings/oleObject59.bin"/><Relationship Id="rId4" Type="http://schemas.openxmlformats.org/officeDocument/2006/relationships/vmlDrawing" Target="../drawings/vmlDrawing1.vml"/><Relationship Id="rId9" Type="http://schemas.openxmlformats.org/officeDocument/2006/relationships/oleObject" Target="../embeddings/oleObject3.bin"/><Relationship Id="rId13" Type="http://schemas.openxmlformats.org/officeDocument/2006/relationships/oleObject" Target="../embeddings/oleObject5.bin"/><Relationship Id="rId18" Type="http://schemas.openxmlformats.org/officeDocument/2006/relationships/image" Target="../media/image6.emf"/><Relationship Id="rId39" Type="http://schemas.openxmlformats.org/officeDocument/2006/relationships/oleObject" Target="../embeddings/oleObject25.bin"/><Relationship Id="rId34" Type="http://schemas.openxmlformats.org/officeDocument/2006/relationships/oleObject" Target="../embeddings/oleObject20.bin"/><Relationship Id="rId50" Type="http://schemas.openxmlformats.org/officeDocument/2006/relationships/oleObject" Target="../embeddings/oleObject36.bin"/><Relationship Id="rId55" Type="http://schemas.openxmlformats.org/officeDocument/2006/relationships/oleObject" Target="../embeddings/oleObject41.bin"/><Relationship Id="rId76" Type="http://schemas.openxmlformats.org/officeDocument/2006/relationships/oleObject" Target="../embeddings/oleObject62.bin"/><Relationship Id="rId7" Type="http://schemas.openxmlformats.org/officeDocument/2006/relationships/oleObject" Target="../embeddings/oleObject2.bin"/><Relationship Id="rId71" Type="http://schemas.openxmlformats.org/officeDocument/2006/relationships/oleObject" Target="../embeddings/oleObject57.bin"/><Relationship Id="rId2" Type="http://schemas.openxmlformats.org/officeDocument/2006/relationships/printerSettings" Target="../printerSettings/printerSettings2.bin"/><Relationship Id="rId29" Type="http://schemas.openxmlformats.org/officeDocument/2006/relationships/oleObject" Target="../embeddings/oleObject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65.bin"/><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64.bin"/><Relationship Id="rId11" Type="http://schemas.openxmlformats.org/officeDocument/2006/relationships/oleObject" Target="../embeddings/oleObject67.bin"/><Relationship Id="rId5" Type="http://schemas.openxmlformats.org/officeDocument/2006/relationships/image" Target="../media/image2.emf"/><Relationship Id="rId10" Type="http://schemas.openxmlformats.org/officeDocument/2006/relationships/oleObject" Target="../embeddings/oleObject66.bin"/><Relationship Id="rId4" Type="http://schemas.openxmlformats.org/officeDocument/2006/relationships/oleObject" Target="../embeddings/oleObject63.bin"/><Relationship Id="rId9" Type="http://schemas.openxmlformats.org/officeDocument/2006/relationships/image" Target="../media/image1.emf"/></Relationships>
</file>

<file path=xl/worksheets/_rels/sheet3.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oleObject" Target="../embeddings/oleObject72.bin"/><Relationship Id="rId18" Type="http://schemas.openxmlformats.org/officeDocument/2006/relationships/oleObject" Target="../embeddings/oleObject77.bin"/><Relationship Id="rId3" Type="http://schemas.openxmlformats.org/officeDocument/2006/relationships/drawing" Target="../drawings/drawing3.xml"/><Relationship Id="rId7" Type="http://schemas.openxmlformats.org/officeDocument/2006/relationships/oleObject" Target="../embeddings/oleObject69.bin"/><Relationship Id="rId12" Type="http://schemas.openxmlformats.org/officeDocument/2006/relationships/image" Target="../media/image8.emf"/><Relationship Id="rId17" Type="http://schemas.openxmlformats.org/officeDocument/2006/relationships/oleObject" Target="../embeddings/oleObject76.bin"/><Relationship Id="rId2" Type="http://schemas.openxmlformats.org/officeDocument/2006/relationships/printerSettings" Target="../printerSettings/printerSettings5.bin"/><Relationship Id="rId16" Type="http://schemas.openxmlformats.org/officeDocument/2006/relationships/oleObject" Target="../embeddings/oleObject75.bin"/><Relationship Id="rId1" Type="http://schemas.openxmlformats.org/officeDocument/2006/relationships/printerSettings" Target="../printerSettings/printerSettings4.bin"/><Relationship Id="rId6" Type="http://schemas.openxmlformats.org/officeDocument/2006/relationships/image" Target="../media/image2.emf"/><Relationship Id="rId11" Type="http://schemas.openxmlformats.org/officeDocument/2006/relationships/oleObject" Target="../embeddings/oleObject71.bin"/><Relationship Id="rId5" Type="http://schemas.openxmlformats.org/officeDocument/2006/relationships/oleObject" Target="../embeddings/oleObject68.bin"/><Relationship Id="rId15" Type="http://schemas.openxmlformats.org/officeDocument/2006/relationships/oleObject" Target="../embeddings/oleObject74.bin"/><Relationship Id="rId10" Type="http://schemas.openxmlformats.org/officeDocument/2006/relationships/image" Target="../media/image5.emf"/><Relationship Id="rId19"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oleObject" Target="../embeddings/oleObject70.bin"/><Relationship Id="rId14" Type="http://schemas.openxmlformats.org/officeDocument/2006/relationships/oleObject" Target="../embeddings/oleObject7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N1144"/>
  <sheetViews>
    <sheetView showGridLines="0" showRowColHeaders="0" zoomScaleNormal="100" workbookViewId="0">
      <selection activeCell="AA23" sqref="AA23"/>
    </sheetView>
  </sheetViews>
  <sheetFormatPr baseColWidth="10" defaultRowHeight="15"/>
  <cols>
    <col min="1" max="1" width="28" customWidth="1"/>
    <col min="7" max="7" width="13.28515625" customWidth="1"/>
    <col min="8" max="8" width="12.42578125" customWidth="1"/>
    <col min="13" max="13" width="18" bestFit="1" customWidth="1"/>
    <col min="14" max="14" width="13.85546875" customWidth="1"/>
    <col min="15" max="15" width="29.140625" customWidth="1"/>
    <col min="16" max="16" width="13.42578125" style="2" customWidth="1"/>
    <col min="17" max="17" width="26.7109375" style="2" bestFit="1" customWidth="1"/>
    <col min="18" max="18" width="30.5703125" style="2" bestFit="1" customWidth="1"/>
    <col min="19" max="19" width="37.42578125" style="2" bestFit="1" customWidth="1"/>
    <col min="21" max="21" width="12" customWidth="1"/>
    <col min="22" max="22" width="12.5703125" customWidth="1"/>
    <col min="23" max="23" width="23.28515625" bestFit="1" customWidth="1"/>
    <col min="24" max="24" width="25.85546875" bestFit="1" customWidth="1"/>
    <col min="25" max="25" width="37.140625" bestFit="1" customWidth="1"/>
    <col min="26" max="26" width="26.85546875" customWidth="1"/>
    <col min="27" max="27" width="25.5703125" customWidth="1"/>
    <col min="28" max="29" width="27.42578125" customWidth="1"/>
    <col min="31" max="31" width="12.85546875" bestFit="1" customWidth="1"/>
    <col min="36" max="37" width="17" customWidth="1"/>
    <col min="39" max="42" width="13.5703125" customWidth="1"/>
    <col min="45" max="45" width="12.85546875" bestFit="1" customWidth="1"/>
  </cols>
  <sheetData>
    <row r="1" spans="1:29" ht="26.25">
      <c r="A1" s="1" t="s">
        <v>0</v>
      </c>
    </row>
    <row r="2" spans="1:29" ht="23.25">
      <c r="A2" s="1"/>
    </row>
    <row r="3" spans="1:29" ht="18.75">
      <c r="A3" s="50" t="s">
        <v>1250</v>
      </c>
    </row>
    <row r="4" spans="1:29" ht="23.25">
      <c r="A4" s="1"/>
    </row>
    <row r="5" spans="1:29" ht="18">
      <c r="A5" s="3" t="s">
        <v>2</v>
      </c>
      <c r="B5" s="4" t="s">
        <v>3</v>
      </c>
      <c r="C5" s="4" t="s">
        <v>4</v>
      </c>
      <c r="D5" s="4" t="s">
        <v>5</v>
      </c>
      <c r="E5" s="4" t="s">
        <v>6</v>
      </c>
      <c r="F5" s="4" t="s">
        <v>7</v>
      </c>
      <c r="G5" s="4" t="s">
        <v>8</v>
      </c>
      <c r="H5" s="4" t="s">
        <v>9</v>
      </c>
      <c r="I5" s="4" t="s">
        <v>10</v>
      </c>
      <c r="J5" s="4" t="s">
        <v>11</v>
      </c>
      <c r="K5" s="4" t="s">
        <v>12</v>
      </c>
      <c r="L5" s="5" t="s">
        <v>13</v>
      </c>
      <c r="M5" s="6"/>
      <c r="O5" s="3" t="s">
        <v>2</v>
      </c>
      <c r="P5" s="664" t="s">
        <v>14</v>
      </c>
      <c r="Q5" s="665"/>
      <c r="R5" s="665"/>
      <c r="S5" s="665"/>
      <c r="T5" s="666"/>
      <c r="V5" s="3" t="s">
        <v>15</v>
      </c>
      <c r="W5" s="3" t="s">
        <v>16</v>
      </c>
    </row>
    <row r="6" spans="1:29">
      <c r="A6" s="7"/>
      <c r="B6" s="8" t="s">
        <v>17</v>
      </c>
      <c r="C6" s="8" t="s">
        <v>18</v>
      </c>
      <c r="D6" s="8" t="s">
        <v>18</v>
      </c>
      <c r="E6" s="8" t="s">
        <v>19</v>
      </c>
      <c r="F6" s="8" t="s">
        <v>18</v>
      </c>
      <c r="G6" s="8" t="s">
        <v>18</v>
      </c>
      <c r="H6" s="8" t="s">
        <v>18</v>
      </c>
      <c r="I6" s="8" t="s">
        <v>17</v>
      </c>
      <c r="J6" s="8" t="s">
        <v>17</v>
      </c>
      <c r="K6" s="8" t="s">
        <v>17</v>
      </c>
      <c r="L6" s="9" t="s">
        <v>17</v>
      </c>
      <c r="M6" s="6"/>
      <c r="O6" s="7"/>
      <c r="P6" s="10">
        <v>0.6</v>
      </c>
      <c r="Q6" s="10">
        <v>0.7</v>
      </c>
      <c r="R6" s="10">
        <v>0.8</v>
      </c>
      <c r="S6" s="10">
        <v>0.9</v>
      </c>
      <c r="T6" s="10">
        <v>1</v>
      </c>
      <c r="V6" s="7" t="s">
        <v>20</v>
      </c>
      <c r="W6" s="7" t="s">
        <v>21</v>
      </c>
      <c r="X6" t="s">
        <v>1017</v>
      </c>
      <c r="Y6" t="s">
        <v>1018</v>
      </c>
      <c r="Z6" t="s">
        <v>1045</v>
      </c>
      <c r="AA6" t="s">
        <v>883</v>
      </c>
      <c r="AB6" t="s">
        <v>640</v>
      </c>
      <c r="AC6" t="s">
        <v>884</v>
      </c>
    </row>
    <row r="7" spans="1:29" ht="45">
      <c r="A7" s="62" t="s">
        <v>1010</v>
      </c>
      <c r="B7" s="212">
        <v>6.2</v>
      </c>
      <c r="C7" s="57">
        <v>58</v>
      </c>
      <c r="D7" s="57">
        <f>C7/2</f>
        <v>29</v>
      </c>
      <c r="E7" s="57">
        <f>C7/(C7-D7)</f>
        <v>2</v>
      </c>
      <c r="F7" s="57">
        <v>54</v>
      </c>
      <c r="G7" s="57">
        <v>84</v>
      </c>
      <c r="H7" s="57">
        <v>10</v>
      </c>
      <c r="I7" s="248">
        <f t="shared" ref="I7:I13" si="0">(0.52*SQRT(H7)*(F7)^0.9*$B$15^0.8)/1000</f>
        <v>6.974712508553587</v>
      </c>
      <c r="J7" s="249">
        <f t="shared" ref="J7:J13" si="1">($J$14*0.52*SQRT(H7)*G7^0.9*$B$15^0.8)/1000</f>
        <v>6.2283718772573966</v>
      </c>
      <c r="K7" s="212">
        <v>30</v>
      </c>
      <c r="L7" s="250">
        <f>MIN(I7*E7,J7*E7)</f>
        <v>12.456743754514793</v>
      </c>
      <c r="O7" s="62" t="s">
        <v>1010</v>
      </c>
      <c r="P7" s="81">
        <f>$E7*MIN($B7/1,$I7*P$6/1.3,$J7*P$6/1.3,$K7/1.25)</f>
        <v>5.7492663482375965</v>
      </c>
      <c r="Q7" s="81">
        <f t="shared" ref="P7:T44" si="2">$E7*MIN($B7/1,$I7*Q$6/1.3,$J7*Q$6/1.3,$K7/1.25)</f>
        <v>6.7074774062771958</v>
      </c>
      <c r="R7" s="81">
        <f t="shared" si="2"/>
        <v>7.665688464316796</v>
      </c>
      <c r="S7" s="81">
        <f t="shared" si="2"/>
        <v>8.6238995223563961</v>
      </c>
      <c r="T7" s="81">
        <f t="shared" si="2"/>
        <v>9.5821105803959945</v>
      </c>
      <c r="V7" s="13" t="s">
        <v>22</v>
      </c>
      <c r="W7" s="14">
        <v>350</v>
      </c>
      <c r="X7" s="13" t="str">
        <f>HLOOKUP(RICON!$K$6,'RICON_RICON-S-EK_GIGANT_WALCO '!$X$6:$AC$18,2,FALSE)</f>
        <v>Nadelholz KVH/ Vollholz</v>
      </c>
      <c r="Y7" s="13" t="str">
        <f>HLOOKUP(GIGANT!$K$6,'RICON_RICON-S-EK_GIGANT_WALCO '!$AA$6:$AC$18,2,FALSE)</f>
        <v>Nadelholz KVH/ Vollholz</v>
      </c>
      <c r="Z7" s="13" t="str">
        <f>HLOOKUP('RICON-S'!$K$7,'RICON_RICON-S-EK_GIGANT_WALCO '!$AA$6:$AC$18,2,FALSE)</f>
        <v>Nadelholz KVH/ Vollholz</v>
      </c>
      <c r="AA7" s="41" t="s">
        <v>618</v>
      </c>
      <c r="AB7" s="41" t="s">
        <v>1201</v>
      </c>
      <c r="AC7" s="41" t="s">
        <v>889</v>
      </c>
    </row>
    <row r="8" spans="1:29" ht="60">
      <c r="A8" s="61" t="s">
        <v>1011</v>
      </c>
      <c r="B8" s="212">
        <v>6.2</v>
      </c>
      <c r="C8" s="57">
        <v>90</v>
      </c>
      <c r="D8" s="57">
        <f t="shared" ref="D8:D9" si="3">C8/2</f>
        <v>45</v>
      </c>
      <c r="E8" s="57">
        <f t="shared" ref="E8:E9" si="4">C8/(C8-D8)</f>
        <v>2</v>
      </c>
      <c r="F8" s="57">
        <v>54</v>
      </c>
      <c r="G8" s="57">
        <v>84</v>
      </c>
      <c r="H8" s="57">
        <v>10</v>
      </c>
      <c r="I8" s="248">
        <f t="shared" si="0"/>
        <v>6.974712508553587</v>
      </c>
      <c r="J8" s="249">
        <f t="shared" si="1"/>
        <v>6.2283718772573966</v>
      </c>
      <c r="K8" s="212">
        <v>30</v>
      </c>
      <c r="L8" s="250">
        <f t="shared" ref="L8:L9" si="5">MIN(I8*E8,J8*E8)</f>
        <v>12.456743754514793</v>
      </c>
      <c r="O8" s="61" t="s">
        <v>1011</v>
      </c>
      <c r="P8" s="81">
        <f t="shared" ref="P8:P13" si="6">$E8*MIN($B8/1,$I8*P$6/1.3,$J8*P$6/1.3,$K8/1.25)</f>
        <v>5.7492663482375965</v>
      </c>
      <c r="Q8" s="81">
        <f t="shared" si="2"/>
        <v>6.7074774062771958</v>
      </c>
      <c r="R8" s="81">
        <f t="shared" si="2"/>
        <v>7.665688464316796</v>
      </c>
      <c r="S8" s="81">
        <f t="shared" si="2"/>
        <v>8.6238995223563961</v>
      </c>
      <c r="T8" s="81">
        <f t="shared" si="2"/>
        <v>9.5821105803959945</v>
      </c>
      <c r="V8" s="13" t="s">
        <v>23</v>
      </c>
      <c r="W8" s="14">
        <v>380</v>
      </c>
      <c r="X8" s="13" t="str">
        <f>HLOOKUP(RICON!$K$6,'RICON_RICON-S-EK_GIGANT_WALCO '!$X$6:$AC$18,3,FALSE)</f>
        <v>Nadelholz KVH/ Vollholz</v>
      </c>
      <c r="Y8" s="13" t="str">
        <f>HLOOKUP(GIGANT!$K$6,'RICON_RICON-S-EK_GIGANT_WALCO '!$AA$6:$AC$18,3,FALSE)</f>
        <v>Nadelholz KVH/ Vollholz</v>
      </c>
      <c r="Z8" s="13" t="str">
        <f>HLOOKUP('RICON-S'!$K$7,'RICON_RICON-S-EK_GIGANT_WALCO '!$AA$6:$AC$18,3,FALSE)</f>
        <v>Nadelholz KVH/ Vollholz</v>
      </c>
      <c r="AA8" s="41" t="s">
        <v>618</v>
      </c>
      <c r="AB8" s="41" t="s">
        <v>1201</v>
      </c>
      <c r="AC8" s="41" t="s">
        <v>889</v>
      </c>
    </row>
    <row r="9" spans="1:29" ht="60">
      <c r="A9" s="61" t="s">
        <v>1012</v>
      </c>
      <c r="B9" s="212">
        <v>6.2</v>
      </c>
      <c r="C9" s="57">
        <v>90</v>
      </c>
      <c r="D9" s="57">
        <f t="shared" si="3"/>
        <v>45</v>
      </c>
      <c r="E9" s="57">
        <f t="shared" si="4"/>
        <v>2</v>
      </c>
      <c r="F9" s="57">
        <v>54</v>
      </c>
      <c r="G9" s="57">
        <v>164</v>
      </c>
      <c r="H9" s="57">
        <v>10</v>
      </c>
      <c r="I9" s="248">
        <f t="shared" si="0"/>
        <v>6.974712508553587</v>
      </c>
      <c r="J9" s="249">
        <f t="shared" si="1"/>
        <v>11.373199070320702</v>
      </c>
      <c r="K9" s="212">
        <v>30</v>
      </c>
      <c r="L9" s="250">
        <f t="shared" si="5"/>
        <v>13.949425017107174</v>
      </c>
      <c r="O9" s="61" t="s">
        <v>1012</v>
      </c>
      <c r="P9" s="81">
        <f t="shared" si="6"/>
        <v>6.4381961617417724</v>
      </c>
      <c r="Q9" s="81">
        <f t="shared" si="2"/>
        <v>7.5112288553654007</v>
      </c>
      <c r="R9" s="81">
        <f t="shared" si="2"/>
        <v>8.5842615489890299</v>
      </c>
      <c r="S9" s="81">
        <f t="shared" si="2"/>
        <v>9.6572942426126591</v>
      </c>
      <c r="T9" s="81">
        <f t="shared" si="2"/>
        <v>10.730326936236287</v>
      </c>
      <c r="V9" s="13" t="s">
        <v>24</v>
      </c>
      <c r="W9" s="14">
        <v>365</v>
      </c>
      <c r="X9" s="13" t="str">
        <f>HLOOKUP(RICON!$K$6,'RICON_RICON-S-EK_GIGANT_WALCO '!$X$6:$AC$18,4,FALSE)</f>
        <v>Brettschichtholz kombiniert</v>
      </c>
      <c r="Y9" s="13" t="str">
        <f>HLOOKUP(GIGANT!$K$6,'RICON_RICON-S-EK_GIGANT_WALCO '!$AA$6:$AC$18,4,FALSE)</f>
        <v>Brettschichtholz kombiniert</v>
      </c>
      <c r="Z9" s="13" t="str">
        <f>HLOOKUP('RICON-S'!$K$7,'RICON_RICON-S-EK_GIGANT_WALCO '!$AA$6:$AC$18,4,FALSE)</f>
        <v>Brettschichtholz kombiniert</v>
      </c>
      <c r="AA9" s="41" t="s">
        <v>614</v>
      </c>
      <c r="AB9" s="41" t="s">
        <v>641</v>
      </c>
      <c r="AC9" s="41" t="s">
        <v>890</v>
      </c>
    </row>
    <row r="10" spans="1:29" ht="60">
      <c r="A10" s="61" t="s">
        <v>1013</v>
      </c>
      <c r="B10" s="212">
        <v>6.2</v>
      </c>
      <c r="C10" s="57">
        <v>90</v>
      </c>
      <c r="D10" s="57">
        <f t="shared" ref="D10:D52" si="7">C10/2</f>
        <v>45</v>
      </c>
      <c r="E10" s="57">
        <f t="shared" ref="E10:E12" si="8">C10/(C10-D10)</f>
        <v>2</v>
      </c>
      <c r="F10" s="57">
        <v>54</v>
      </c>
      <c r="G10" s="57">
        <v>164</v>
      </c>
      <c r="H10" s="57">
        <v>10</v>
      </c>
      <c r="I10" s="248">
        <f t="shared" si="0"/>
        <v>6.974712508553587</v>
      </c>
      <c r="J10" s="249">
        <f t="shared" si="1"/>
        <v>11.373199070320702</v>
      </c>
      <c r="K10" s="212">
        <v>30</v>
      </c>
      <c r="L10" s="250">
        <f t="shared" ref="L10:L12" si="9">MIN(I10*E10,J10*E10)</f>
        <v>13.949425017107174</v>
      </c>
      <c r="O10" s="61" t="s">
        <v>1013</v>
      </c>
      <c r="P10" s="81">
        <f t="shared" si="6"/>
        <v>6.4381961617417724</v>
      </c>
      <c r="Q10" s="81">
        <f t="shared" si="2"/>
        <v>7.5112288553654007</v>
      </c>
      <c r="R10" s="81">
        <f t="shared" si="2"/>
        <v>8.5842615489890299</v>
      </c>
      <c r="S10" s="81">
        <f t="shared" si="2"/>
        <v>9.6572942426126591</v>
      </c>
      <c r="T10" s="81">
        <f t="shared" si="2"/>
        <v>10.730326936236287</v>
      </c>
      <c r="V10" s="13" t="s">
        <v>25</v>
      </c>
      <c r="W10" s="14">
        <v>385</v>
      </c>
      <c r="X10" s="13" t="str">
        <f>HLOOKUP(RICON!$K$6,'RICON_RICON-S-EK_GIGANT_WALCO '!$X$6:$AC$18,5,FALSE)</f>
        <v>Brettschichtholz homogen</v>
      </c>
      <c r="Y10" s="13" t="str">
        <f>HLOOKUP(GIGANT!$K$6,'RICON_RICON-S-EK_GIGANT_WALCO '!$AA$6:$AC$18,5,FALSE)</f>
        <v>Brettschichtholz homogen</v>
      </c>
      <c r="Z10" s="13" t="str">
        <f>HLOOKUP('RICON-S'!$K$7,'RICON_RICON-S-EK_GIGANT_WALCO '!$AA$6:$AC$18,5,FALSE)</f>
        <v>Brettschichtholz homogen</v>
      </c>
      <c r="AA10" s="41" t="s">
        <v>615</v>
      </c>
      <c r="AB10" s="41" t="s">
        <v>642</v>
      </c>
      <c r="AC10" s="41" t="s">
        <v>891</v>
      </c>
    </row>
    <row r="11" spans="1:29" ht="60">
      <c r="A11" s="61" t="s">
        <v>1014</v>
      </c>
      <c r="B11" s="212">
        <v>6.2</v>
      </c>
      <c r="C11" s="57">
        <v>122</v>
      </c>
      <c r="D11" s="57">
        <f t="shared" si="7"/>
        <v>61</v>
      </c>
      <c r="E11" s="57">
        <f t="shared" si="8"/>
        <v>2</v>
      </c>
      <c r="F11" s="57">
        <v>54</v>
      </c>
      <c r="G11" s="57">
        <v>84</v>
      </c>
      <c r="H11" s="57">
        <v>10</v>
      </c>
      <c r="I11" s="248">
        <f t="shared" si="0"/>
        <v>6.974712508553587</v>
      </c>
      <c r="J11" s="249">
        <f t="shared" si="1"/>
        <v>6.2283718772573966</v>
      </c>
      <c r="K11" s="212">
        <v>30</v>
      </c>
      <c r="L11" s="250">
        <f t="shared" si="9"/>
        <v>12.456743754514793</v>
      </c>
      <c r="O11" s="61" t="s">
        <v>1014</v>
      </c>
      <c r="P11" s="81">
        <f t="shared" si="6"/>
        <v>5.7492663482375965</v>
      </c>
      <c r="Q11" s="81">
        <f t="shared" si="2"/>
        <v>6.7074774062771958</v>
      </c>
      <c r="R11" s="81">
        <f t="shared" si="2"/>
        <v>7.665688464316796</v>
      </c>
      <c r="S11" s="81">
        <f t="shared" si="2"/>
        <v>8.6238995223563961</v>
      </c>
      <c r="T11" s="81">
        <f t="shared" si="2"/>
        <v>9.5821105803959945</v>
      </c>
      <c r="V11" s="13" t="s">
        <v>616</v>
      </c>
      <c r="W11" s="14">
        <v>390</v>
      </c>
      <c r="X11" s="13" t="str">
        <f>HLOOKUP(RICON!$K$6,'RICON_RICON-S-EK_GIGANT_WALCO '!$X$6:$AC$18,6,FALSE)</f>
        <v>Brettschichtholz kombiniert</v>
      </c>
      <c r="Y11" s="13" t="str">
        <f>HLOOKUP(GIGANT!$K$6,'RICON_RICON-S-EK_GIGANT_WALCO '!$AA$6:$AC$18,6,FALSE)</f>
        <v>Brettschichtholz kombiniert</v>
      </c>
      <c r="Z11" s="13" t="str">
        <f>HLOOKUP('RICON-S'!$K$7,'RICON_RICON-S-EK_GIGANT_WALCO '!$AA$6:$AC$18,6,FALSE)</f>
        <v>Brettschichtholz kombiniert</v>
      </c>
      <c r="AA11" s="41" t="s">
        <v>614</v>
      </c>
      <c r="AB11" s="41" t="s">
        <v>641</v>
      </c>
      <c r="AC11" s="41" t="s">
        <v>890</v>
      </c>
    </row>
    <row r="12" spans="1:29" ht="60">
      <c r="A12" s="61" t="s">
        <v>1015</v>
      </c>
      <c r="B12" s="212">
        <v>6.2</v>
      </c>
      <c r="C12" s="57">
        <v>122</v>
      </c>
      <c r="D12" s="57">
        <f t="shared" si="7"/>
        <v>61</v>
      </c>
      <c r="E12" s="57">
        <f t="shared" si="8"/>
        <v>2</v>
      </c>
      <c r="F12" s="57">
        <v>54</v>
      </c>
      <c r="G12" s="57">
        <v>164</v>
      </c>
      <c r="H12" s="57">
        <v>10</v>
      </c>
      <c r="I12" s="248">
        <f t="shared" si="0"/>
        <v>6.974712508553587</v>
      </c>
      <c r="J12" s="249">
        <f t="shared" si="1"/>
        <v>11.373199070320702</v>
      </c>
      <c r="K12" s="212">
        <v>30</v>
      </c>
      <c r="L12" s="250">
        <f t="shared" si="9"/>
        <v>13.949425017107174</v>
      </c>
      <c r="O12" s="61" t="s">
        <v>1015</v>
      </c>
      <c r="P12" s="81">
        <f t="shared" si="6"/>
        <v>6.4381961617417724</v>
      </c>
      <c r="Q12" s="81">
        <f t="shared" si="2"/>
        <v>7.5112288553654007</v>
      </c>
      <c r="R12" s="81">
        <f t="shared" si="2"/>
        <v>8.5842615489890299</v>
      </c>
      <c r="S12" s="81">
        <f t="shared" si="2"/>
        <v>9.6572942426126591</v>
      </c>
      <c r="T12" s="81">
        <f t="shared" si="2"/>
        <v>10.730326936236287</v>
      </c>
      <c r="V12" s="13" t="s">
        <v>26</v>
      </c>
      <c r="W12" s="14">
        <v>425</v>
      </c>
      <c r="X12" s="13" t="str">
        <f>HLOOKUP(RICON!$K$6,'RICON_RICON-S-EK_GIGANT_WALCO '!$X$6:$AC$18,7,FALSE)</f>
        <v>Brettschichtholz homogen</v>
      </c>
      <c r="Y12" s="13" t="str">
        <f>HLOOKUP(GIGANT!$K$6,'RICON_RICON-S-EK_GIGANT_WALCO '!$AA$6:$AC$18,7,FALSE)</f>
        <v>Brettschichtholz homogen</v>
      </c>
      <c r="Z12" s="13" t="str">
        <f>HLOOKUP('RICON-S'!$K$7,'RICON_RICON-S-EK_GIGANT_WALCO '!$AA$6:$AC$18,7,FALSE)</f>
        <v>Brettschichtholz homogen</v>
      </c>
      <c r="AA12" s="41" t="s">
        <v>615</v>
      </c>
      <c r="AB12" s="41" t="s">
        <v>642</v>
      </c>
      <c r="AC12" s="41" t="s">
        <v>891</v>
      </c>
    </row>
    <row r="13" spans="1:29" ht="60">
      <c r="A13" s="61" t="s">
        <v>1016</v>
      </c>
      <c r="B13" s="212">
        <v>6.2</v>
      </c>
      <c r="C13" s="57">
        <v>122</v>
      </c>
      <c r="D13" s="57">
        <f t="shared" ref="D13" si="10">C13/2</f>
        <v>61</v>
      </c>
      <c r="E13" s="57">
        <f t="shared" ref="E13" si="11">C13/(C13-D13)</f>
        <v>2</v>
      </c>
      <c r="F13" s="57">
        <v>54</v>
      </c>
      <c r="G13" s="57">
        <v>84</v>
      </c>
      <c r="H13" s="57">
        <v>10</v>
      </c>
      <c r="I13" s="248">
        <f t="shared" si="0"/>
        <v>6.974712508553587</v>
      </c>
      <c r="J13" s="249">
        <f t="shared" si="1"/>
        <v>6.2283718772573966</v>
      </c>
      <c r="K13" s="212">
        <v>30</v>
      </c>
      <c r="L13" s="250">
        <f t="shared" ref="L13" si="12">MIN(I13*E13,J13*E13)</f>
        <v>12.456743754514793</v>
      </c>
      <c r="O13" s="61" t="s">
        <v>1016</v>
      </c>
      <c r="P13" s="81">
        <f t="shared" si="6"/>
        <v>5.7492663482375965</v>
      </c>
      <c r="Q13" s="81">
        <f t="shared" si="2"/>
        <v>6.7074774062771958</v>
      </c>
      <c r="R13" s="81">
        <f t="shared" si="2"/>
        <v>7.665688464316796</v>
      </c>
      <c r="S13" s="81">
        <f t="shared" si="2"/>
        <v>8.6238995223563961</v>
      </c>
      <c r="T13" s="81">
        <f t="shared" si="2"/>
        <v>9.5821105803959945</v>
      </c>
      <c r="V13" s="13" t="s">
        <v>617</v>
      </c>
      <c r="W13" s="14">
        <v>390</v>
      </c>
      <c r="X13" s="13" t="str">
        <f>HLOOKUP(RICON!$K$6,'RICON_RICON-S-EK_GIGANT_WALCO '!$X$6:$AC$18,8,FALSE)</f>
        <v>Brettschichtholz kombiniert</v>
      </c>
      <c r="Y13" s="13" t="str">
        <f>HLOOKUP(GIGANT!$K$6,'RICON_RICON-S-EK_GIGANT_WALCO '!$AA$6:$AC$18,8,FALSE)</f>
        <v>Brettschichtholz kombiniert</v>
      </c>
      <c r="Z13" s="13" t="str">
        <f>HLOOKUP('RICON-S'!$K$7,'RICON_RICON-S-EK_GIGANT_WALCO '!$AA$6:$AC$18,8,FALSE)</f>
        <v>Brettschichtholz kombiniert</v>
      </c>
      <c r="AA13" s="41" t="s">
        <v>614</v>
      </c>
      <c r="AB13" s="41" t="s">
        <v>641</v>
      </c>
      <c r="AC13" s="41" t="s">
        <v>890</v>
      </c>
    </row>
    <row r="14" spans="1:29">
      <c r="A14" s="19" t="s">
        <v>35</v>
      </c>
      <c r="B14" t="str">
        <f>GIGANT!E5</f>
        <v>GL24h</v>
      </c>
      <c r="D14" s="66"/>
      <c r="E14" s="66"/>
      <c r="F14" s="66"/>
      <c r="G14" s="66"/>
      <c r="H14" s="66"/>
      <c r="I14" s="242" t="s">
        <v>294</v>
      </c>
      <c r="J14" s="20">
        <v>0.6</v>
      </c>
      <c r="K14" s="222"/>
      <c r="L14" s="365"/>
      <c r="O14" s="68"/>
      <c r="P14" s="105"/>
      <c r="Q14" s="105"/>
      <c r="R14" s="105"/>
      <c r="S14" s="105"/>
      <c r="T14" s="105"/>
      <c r="V14" s="13" t="s">
        <v>285</v>
      </c>
      <c r="W14" s="14">
        <v>430</v>
      </c>
      <c r="X14" s="13" t="str">
        <f>HLOOKUP(RICON!$K$6,'RICON_RICON-S-EK_GIGANT_WALCO '!$X$6:$AC$18,9,FALSE)</f>
        <v>Brettschichtholz homogen</v>
      </c>
      <c r="Y14" s="13" t="str">
        <f>HLOOKUP(GIGANT!$K$6,'RICON_RICON-S-EK_GIGANT_WALCO '!$AA$6:$AC$18,9,FALSE)</f>
        <v>Brettschichtholz homogen</v>
      </c>
      <c r="Z14" s="13" t="str">
        <f>HLOOKUP('RICON-S'!$K$7,'RICON_RICON-S-EK_GIGANT_WALCO '!$AA$6:$AC$18,9,FALSE)</f>
        <v>Brettschichtholz homogen</v>
      </c>
      <c r="AA14" s="41" t="s">
        <v>615</v>
      </c>
      <c r="AB14" s="41" t="s">
        <v>642</v>
      </c>
      <c r="AC14" s="41" t="s">
        <v>891</v>
      </c>
    </row>
    <row r="15" spans="1:29" ht="18">
      <c r="A15" s="21" t="s">
        <v>37</v>
      </c>
      <c r="B15">
        <f>VLOOKUP(B14,V7:W18,2,FALSE)</f>
        <v>385</v>
      </c>
      <c r="C15" t="s">
        <v>38</v>
      </c>
      <c r="D15" s="66"/>
      <c r="E15" s="66"/>
      <c r="F15" s="66"/>
      <c r="G15" s="66"/>
      <c r="H15" s="66"/>
      <c r="I15" s="363"/>
      <c r="J15" s="364"/>
      <c r="K15" s="222"/>
      <c r="L15" s="365"/>
      <c r="M15" s="104"/>
      <c r="O15" s="68"/>
      <c r="P15" s="105"/>
      <c r="Q15" s="105"/>
      <c r="R15" s="105"/>
      <c r="S15" s="105"/>
      <c r="T15" s="105"/>
      <c r="V15" s="13" t="s">
        <v>287</v>
      </c>
      <c r="W15" s="14">
        <v>400</v>
      </c>
      <c r="X15" s="13" t="str">
        <f>HLOOKUP(RICON!$K$6,'RICON_RICON-S-EK_GIGANT_WALCO '!$X$6:$AC$18,10,FALSE)</f>
        <v>Brettschichtholz kombiniert</v>
      </c>
      <c r="Y15" s="13" t="str">
        <f>HLOOKUP(GIGANT!$K$6,'RICON_RICON-S-EK_GIGANT_WALCO '!$AA$6:$AC$18,10,FALSE)</f>
        <v>Brettschichtholz kombiniert</v>
      </c>
      <c r="Z15" s="13" t="str">
        <f>HLOOKUP('RICON-S'!$K$7,'RICON_RICON-S-EK_GIGANT_WALCO '!$AA$6:$AC$18,10,FALSE)</f>
        <v>Brettschichtholz kombiniert</v>
      </c>
      <c r="AA15" s="41" t="s">
        <v>614</v>
      </c>
      <c r="AB15" s="41" t="s">
        <v>641</v>
      </c>
      <c r="AC15" s="41" t="s">
        <v>890</v>
      </c>
    </row>
    <row r="16" spans="1:29" ht="18.75">
      <c r="A16" s="50" t="s">
        <v>1251</v>
      </c>
      <c r="B16" s="222"/>
      <c r="C16" s="66"/>
      <c r="D16" s="66"/>
      <c r="E16" s="66"/>
      <c r="F16" s="66"/>
      <c r="G16" s="66"/>
      <c r="H16" s="66"/>
      <c r="I16" s="363"/>
      <c r="J16" s="364"/>
      <c r="K16" s="222"/>
      <c r="L16" s="365"/>
      <c r="M16" s="104"/>
      <c r="O16" s="68"/>
      <c r="P16" s="105"/>
      <c r="Q16" s="105"/>
      <c r="R16" s="105"/>
      <c r="S16" s="105"/>
      <c r="T16" s="105"/>
      <c r="V16" s="13" t="s">
        <v>289</v>
      </c>
      <c r="W16" s="14">
        <v>440</v>
      </c>
      <c r="X16" s="13" t="str">
        <f>HLOOKUP(RICON!$K$6,'RICON_RICON-S-EK_GIGANT_WALCO '!$X$6:$AC$18,11,FALSE)</f>
        <v>Brettschichtholz homogen</v>
      </c>
      <c r="Y16" s="13" t="str">
        <f>HLOOKUP(GIGANT!$K$6,'RICON_RICON-S-EK_GIGANT_WALCO '!$AA$6:$AC$18,11,FALSE)</f>
        <v>Brettschichtholz homogen</v>
      </c>
      <c r="Z16" s="13" t="str">
        <f>HLOOKUP('RICON-S'!$K$7,'RICON_RICON-S-EK_GIGANT_WALCO '!$AA$6:$AC$18,11,FALSE)</f>
        <v>Brettschichtholz homogen</v>
      </c>
      <c r="AA16" s="41" t="s">
        <v>615</v>
      </c>
      <c r="AB16" s="41" t="s">
        <v>642</v>
      </c>
      <c r="AC16" s="41" t="s">
        <v>891</v>
      </c>
    </row>
    <row r="17" spans="1:29">
      <c r="A17" s="68"/>
      <c r="B17" s="222"/>
      <c r="C17" s="66"/>
      <c r="D17" s="66"/>
      <c r="E17" s="66"/>
      <c r="F17" s="66"/>
      <c r="G17" s="66"/>
      <c r="H17" s="66"/>
      <c r="I17" s="363"/>
      <c r="J17" s="364"/>
      <c r="K17" s="222"/>
      <c r="L17" s="365"/>
      <c r="M17" s="104"/>
      <c r="O17" s="68"/>
      <c r="P17" s="105"/>
      <c r="Q17" s="105"/>
      <c r="R17" s="105"/>
      <c r="S17" s="105"/>
      <c r="T17" s="105"/>
      <c r="V17" s="13" t="s">
        <v>625</v>
      </c>
      <c r="W17" s="14">
        <v>530</v>
      </c>
      <c r="X17" s="13" t="str">
        <f>HLOOKUP(RICON!$K$6,'RICON_RICON-S-EK_GIGANT_WALCO '!$X$6:$AC$18,12,FALSE)</f>
        <v>Laubholz (z.B. Eiche)</v>
      </c>
      <c r="Y17" s="13" t="str">
        <f>HLOOKUP(GIGANT!$K$6,'RICON_RICON-S-EK_GIGANT_WALCO '!$AA$6:$AC$18,12,FALSE)</f>
        <v>Laubholz (z.B. Eiche)</v>
      </c>
      <c r="Z17" s="13" t="str">
        <f>HLOOKUP('RICON-S'!$K$7,'RICON_RICON-S-EK_GIGANT_WALCO '!$AA$6:$AC$18,12,FALSE)</f>
        <v>Laubholz (z.B. Eiche)</v>
      </c>
      <c r="AA17" s="41" t="s">
        <v>626</v>
      </c>
      <c r="AB17" s="41" t="s">
        <v>645</v>
      </c>
      <c r="AC17" s="41" t="s">
        <v>892</v>
      </c>
    </row>
    <row r="18" spans="1:29" ht="18">
      <c r="A18" s="3" t="s">
        <v>2</v>
      </c>
      <c r="B18" s="4" t="s">
        <v>3</v>
      </c>
      <c r="C18" s="4" t="s">
        <v>4</v>
      </c>
      <c r="D18" s="4" t="s">
        <v>5</v>
      </c>
      <c r="E18" s="4" t="s">
        <v>6</v>
      </c>
      <c r="F18" s="4" t="s">
        <v>7</v>
      </c>
      <c r="G18" s="4" t="s">
        <v>8</v>
      </c>
      <c r="H18" s="4" t="s">
        <v>9</v>
      </c>
      <c r="I18" s="4" t="s">
        <v>10</v>
      </c>
      <c r="J18" s="4" t="s">
        <v>11</v>
      </c>
      <c r="K18" s="4" t="s">
        <v>12</v>
      </c>
      <c r="L18" s="5" t="s">
        <v>13</v>
      </c>
      <c r="M18" s="11"/>
      <c r="O18" s="3" t="s">
        <v>2</v>
      </c>
      <c r="P18" s="664" t="s">
        <v>14</v>
      </c>
      <c r="Q18" s="665"/>
      <c r="R18" s="665"/>
      <c r="S18" s="665"/>
      <c r="T18" s="666"/>
      <c r="V18" s="13" t="s">
        <v>627</v>
      </c>
      <c r="W18" s="14">
        <v>590</v>
      </c>
      <c r="X18" s="13" t="str">
        <f>HLOOKUP(RICON!$K$6,'RICON_RICON-S-EK_GIGANT_WALCO '!$X$6:$AC$18,13,FALSE)</f>
        <v>Furnierschichtholz BauBuche</v>
      </c>
      <c r="Y18" s="13" t="str">
        <f>HLOOKUP(GIGANT!$K$6,'RICON_RICON-S-EK_GIGANT_WALCO '!$AA$6:$AC$18,13,FALSE)</f>
        <v>Furnierschichtholz BauBuche</v>
      </c>
      <c r="Z18" s="13" t="str">
        <f>HLOOKUP('RICON-S'!$K$7,'RICON_RICON-S-EK_GIGANT_WALCO '!$AA$6:$AC$18,13,FALSE)</f>
        <v>Furnierschichtholz BauBuche</v>
      </c>
      <c r="AA18" s="41" t="s">
        <v>706</v>
      </c>
      <c r="AB18" s="41" t="s">
        <v>707</v>
      </c>
      <c r="AC18" s="41" t="s">
        <v>893</v>
      </c>
    </row>
    <row r="19" spans="1:29">
      <c r="A19" s="7"/>
      <c r="B19" s="8" t="s">
        <v>17</v>
      </c>
      <c r="C19" s="8" t="s">
        <v>18</v>
      </c>
      <c r="D19" s="8" t="s">
        <v>18</v>
      </c>
      <c r="E19" s="8" t="s">
        <v>19</v>
      </c>
      <c r="F19" s="8" t="s">
        <v>18</v>
      </c>
      <c r="G19" s="8" t="s">
        <v>18</v>
      </c>
      <c r="H19" s="8" t="s">
        <v>18</v>
      </c>
      <c r="I19" s="8" t="s">
        <v>17</v>
      </c>
      <c r="J19" s="8" t="s">
        <v>17</v>
      </c>
      <c r="K19" s="8" t="s">
        <v>17</v>
      </c>
      <c r="L19" s="9" t="s">
        <v>17</v>
      </c>
      <c r="M19" s="11"/>
      <c r="O19" s="7"/>
      <c r="P19" s="10">
        <v>0.6</v>
      </c>
      <c r="Q19" s="10">
        <v>0.7</v>
      </c>
      <c r="R19" s="10">
        <v>0.8</v>
      </c>
      <c r="S19" s="10">
        <v>0.9</v>
      </c>
      <c r="T19" s="10">
        <v>1</v>
      </c>
      <c r="W19" t="s">
        <v>883</v>
      </c>
      <c r="X19" t="s">
        <v>640</v>
      </c>
      <c r="Y19" t="s">
        <v>884</v>
      </c>
    </row>
    <row r="20" spans="1:29" ht="45">
      <c r="A20" s="259" t="s">
        <v>330</v>
      </c>
      <c r="B20" s="260">
        <v>5.9</v>
      </c>
      <c r="C20" s="261">
        <v>34</v>
      </c>
      <c r="D20" s="261">
        <f t="shared" si="7"/>
        <v>17</v>
      </c>
      <c r="E20" s="261">
        <v>2</v>
      </c>
      <c r="F20" s="261">
        <v>35</v>
      </c>
      <c r="G20" s="261">
        <v>65</v>
      </c>
      <c r="H20" s="261">
        <v>8</v>
      </c>
      <c r="I20" s="262">
        <f t="shared" ref="I20:I34" si="13">(0.52*SQRT(H20)*(F20)^0.9*$B$37^0.8)/1000</f>
        <v>4.2225826668958426</v>
      </c>
      <c r="J20" s="263">
        <f t="shared" ref="J20:J27" si="14">($J$36*0.52*SQRT(H20)*G20^0.9*$B$37^0.8)/1000</f>
        <v>2.2113638026311735</v>
      </c>
      <c r="K20" s="260">
        <v>20</v>
      </c>
      <c r="L20" s="264">
        <f t="shared" ref="L20:L23" si="15">E20*MIN(B20,I20,J20,K20)</f>
        <v>4.422727605262347</v>
      </c>
      <c r="M20" s="11"/>
      <c r="O20" s="259" t="s">
        <v>330</v>
      </c>
      <c r="P20" s="265">
        <f t="shared" si="2"/>
        <v>2.0412588947364676</v>
      </c>
      <c r="Q20" s="265">
        <f t="shared" si="2"/>
        <v>2.3814687105258789</v>
      </c>
      <c r="R20" s="265">
        <f t="shared" si="2"/>
        <v>2.7216785263152903</v>
      </c>
      <c r="S20" s="265">
        <f t="shared" si="2"/>
        <v>3.0618883421047021</v>
      </c>
      <c r="T20" s="265">
        <f t="shared" si="2"/>
        <v>3.402098157894113</v>
      </c>
      <c r="V20" s="13" t="s">
        <v>1209</v>
      </c>
      <c r="W20" s="553" t="s">
        <v>1222</v>
      </c>
      <c r="X20" s="553" t="s">
        <v>1224</v>
      </c>
      <c r="Y20" s="553" t="s">
        <v>1228</v>
      </c>
    </row>
    <row r="21" spans="1:29" ht="45">
      <c r="A21" s="62" t="s">
        <v>334</v>
      </c>
      <c r="B21" s="212">
        <v>5.9</v>
      </c>
      <c r="C21" s="57">
        <v>54</v>
      </c>
      <c r="D21" s="57">
        <f t="shared" si="7"/>
        <v>27</v>
      </c>
      <c r="E21" s="57">
        <v>2</v>
      </c>
      <c r="F21" s="57">
        <f t="shared" ref="F21:F27" si="16">$F$20</f>
        <v>35</v>
      </c>
      <c r="G21" s="57">
        <f>$G$20</f>
        <v>65</v>
      </c>
      <c r="H21" s="57">
        <v>8</v>
      </c>
      <c r="I21" s="262">
        <f t="shared" si="13"/>
        <v>4.2225826668958426</v>
      </c>
      <c r="J21" s="263">
        <f t="shared" si="14"/>
        <v>2.2113638026311735</v>
      </c>
      <c r="K21" s="212">
        <v>20</v>
      </c>
      <c r="L21" s="251">
        <f t="shared" si="15"/>
        <v>4.422727605262347</v>
      </c>
      <c r="M21" s="11"/>
      <c r="N21" s="17"/>
      <c r="O21" s="62" t="s">
        <v>334</v>
      </c>
      <c r="P21" s="215">
        <f t="shared" si="2"/>
        <v>2.0412588947364676</v>
      </c>
      <c r="Q21" s="215">
        <f t="shared" si="2"/>
        <v>2.3814687105258789</v>
      </c>
      <c r="R21" s="215">
        <f t="shared" si="2"/>
        <v>2.7216785263152903</v>
      </c>
      <c r="S21" s="215">
        <f t="shared" si="2"/>
        <v>3.0618883421047021</v>
      </c>
      <c r="T21" s="215">
        <f t="shared" si="2"/>
        <v>3.402098157894113</v>
      </c>
      <c r="V21" s="13" t="s">
        <v>1210</v>
      </c>
      <c r="W21" s="553" t="s">
        <v>1212</v>
      </c>
      <c r="X21" s="553" t="s">
        <v>1226</v>
      </c>
      <c r="Y21" s="553" t="s">
        <v>1227</v>
      </c>
    </row>
    <row r="22" spans="1:29" ht="45">
      <c r="A22" s="62" t="s">
        <v>331</v>
      </c>
      <c r="B22" s="212">
        <v>5.9</v>
      </c>
      <c r="C22" s="57">
        <v>74</v>
      </c>
      <c r="D22" s="57">
        <f t="shared" si="7"/>
        <v>37</v>
      </c>
      <c r="E22" s="57">
        <v>2</v>
      </c>
      <c r="F22" s="57">
        <f t="shared" si="16"/>
        <v>35</v>
      </c>
      <c r="G22" s="57">
        <f>$G$20</f>
        <v>65</v>
      </c>
      <c r="H22" s="57">
        <v>8</v>
      </c>
      <c r="I22" s="262">
        <f t="shared" si="13"/>
        <v>4.2225826668958426</v>
      </c>
      <c r="J22" s="263">
        <f t="shared" si="14"/>
        <v>2.2113638026311735</v>
      </c>
      <c r="K22" s="212">
        <v>20</v>
      </c>
      <c r="L22" s="251">
        <f t="shared" si="15"/>
        <v>4.422727605262347</v>
      </c>
      <c r="M22" s="11"/>
      <c r="O22" s="62" t="s">
        <v>331</v>
      </c>
      <c r="P22" s="215">
        <f t="shared" si="2"/>
        <v>2.0412588947364676</v>
      </c>
      <c r="Q22" s="215">
        <f t="shared" si="2"/>
        <v>2.3814687105258789</v>
      </c>
      <c r="R22" s="215">
        <f t="shared" si="2"/>
        <v>2.7216785263152903</v>
      </c>
      <c r="S22" s="215">
        <f t="shared" si="2"/>
        <v>3.0618883421047021</v>
      </c>
      <c r="T22" s="215">
        <f t="shared" si="2"/>
        <v>3.402098157894113</v>
      </c>
      <c r="V22" s="13" t="s">
        <v>1211</v>
      </c>
      <c r="W22" s="553" t="s">
        <v>1213</v>
      </c>
      <c r="X22" s="553" t="s">
        <v>1214</v>
      </c>
      <c r="Y22" s="553" t="s">
        <v>1225</v>
      </c>
    </row>
    <row r="23" spans="1:29" ht="45">
      <c r="A23" s="62" t="s">
        <v>333</v>
      </c>
      <c r="B23" s="212">
        <v>5.9</v>
      </c>
      <c r="C23" s="57">
        <v>94</v>
      </c>
      <c r="D23" s="57">
        <f t="shared" si="7"/>
        <v>47</v>
      </c>
      <c r="E23" s="57">
        <v>2</v>
      </c>
      <c r="F23" s="57">
        <f t="shared" si="16"/>
        <v>35</v>
      </c>
      <c r="G23" s="57">
        <f>$G$20</f>
        <v>65</v>
      </c>
      <c r="H23" s="57">
        <v>8</v>
      </c>
      <c r="I23" s="262">
        <f t="shared" si="13"/>
        <v>4.2225826668958426</v>
      </c>
      <c r="J23" s="263">
        <f t="shared" si="14"/>
        <v>2.2113638026311735</v>
      </c>
      <c r="K23" s="212">
        <v>20</v>
      </c>
      <c r="L23" s="251">
        <f t="shared" si="15"/>
        <v>4.422727605262347</v>
      </c>
      <c r="M23" s="11"/>
      <c r="O23" s="62" t="s">
        <v>333</v>
      </c>
      <c r="P23" s="215">
        <f t="shared" si="2"/>
        <v>2.0412588947364676</v>
      </c>
      <c r="Q23" s="215">
        <f t="shared" si="2"/>
        <v>2.3814687105258789</v>
      </c>
      <c r="R23" s="215">
        <f t="shared" si="2"/>
        <v>2.7216785263152903</v>
      </c>
      <c r="S23" s="215">
        <f t="shared" si="2"/>
        <v>3.0618883421047021</v>
      </c>
      <c r="T23" s="215">
        <f t="shared" si="2"/>
        <v>3.402098157894113</v>
      </c>
      <c r="V23" s="13" t="s">
        <v>1217</v>
      </c>
      <c r="W23" s="553" t="s">
        <v>1232</v>
      </c>
      <c r="X23" s="553" t="s">
        <v>1233</v>
      </c>
      <c r="Y23" s="553" t="s">
        <v>1234</v>
      </c>
    </row>
    <row r="24" spans="1:29" ht="45">
      <c r="A24" s="62" t="s">
        <v>332</v>
      </c>
      <c r="B24" s="212">
        <v>5.9</v>
      </c>
      <c r="C24" s="57">
        <v>114</v>
      </c>
      <c r="D24" s="57">
        <f>C24/2</f>
        <v>57</v>
      </c>
      <c r="E24" s="57">
        <v>2</v>
      </c>
      <c r="F24" s="57">
        <f t="shared" si="16"/>
        <v>35</v>
      </c>
      <c r="G24" s="57">
        <f>$G$20</f>
        <v>65</v>
      </c>
      <c r="H24" s="57">
        <v>8</v>
      </c>
      <c r="I24" s="262">
        <f t="shared" si="13"/>
        <v>4.2225826668958426</v>
      </c>
      <c r="J24" s="263">
        <f t="shared" si="14"/>
        <v>2.2113638026311735</v>
      </c>
      <c r="K24" s="212">
        <v>20</v>
      </c>
      <c r="L24" s="251">
        <f>E24*MIN(B24,I24,J24,K24)</f>
        <v>4.422727605262347</v>
      </c>
      <c r="M24" s="11"/>
      <c r="O24" s="62" t="s">
        <v>332</v>
      </c>
      <c r="P24" s="215">
        <f t="shared" ref="P24:T34" si="17">$E24*MIN($B24/1,$I24*P$6/1.3,$J24*P$6/1.3,$K24/1.25)</f>
        <v>2.0412588947364676</v>
      </c>
      <c r="Q24" s="215">
        <f t="shared" si="17"/>
        <v>2.3814687105258789</v>
      </c>
      <c r="R24" s="215">
        <f t="shared" si="17"/>
        <v>2.7216785263152903</v>
      </c>
      <c r="S24" s="215">
        <f t="shared" si="17"/>
        <v>3.0618883421047021</v>
      </c>
      <c r="T24" s="215">
        <f t="shared" si="17"/>
        <v>3.402098157894113</v>
      </c>
      <c r="V24" s="13"/>
      <c r="W24" s="13" t="s">
        <v>1229</v>
      </c>
      <c r="X24" s="13" t="s">
        <v>1230</v>
      </c>
      <c r="Y24" s="13" t="s">
        <v>1364</v>
      </c>
    </row>
    <row r="25" spans="1:29" ht="45">
      <c r="A25" s="62" t="s">
        <v>335</v>
      </c>
      <c r="B25" s="212">
        <v>5.9</v>
      </c>
      <c r="C25" s="57">
        <v>134</v>
      </c>
      <c r="D25" s="57">
        <f>C25/2</f>
        <v>67</v>
      </c>
      <c r="E25" s="57">
        <v>2</v>
      </c>
      <c r="F25" s="57">
        <f t="shared" si="16"/>
        <v>35</v>
      </c>
      <c r="G25" s="57">
        <f>$G$20</f>
        <v>65</v>
      </c>
      <c r="H25" s="57">
        <v>8</v>
      </c>
      <c r="I25" s="262">
        <f t="shared" si="13"/>
        <v>4.2225826668958426</v>
      </c>
      <c r="J25" s="263">
        <f t="shared" si="14"/>
        <v>2.2113638026311735</v>
      </c>
      <c r="K25" s="212">
        <v>20</v>
      </c>
      <c r="L25" s="251">
        <f>E25*MIN(B25,I25,J25,K25)</f>
        <v>4.422727605262347</v>
      </c>
      <c r="M25" s="11"/>
      <c r="O25" s="62" t="s">
        <v>335</v>
      </c>
      <c r="P25" s="215">
        <f t="shared" si="17"/>
        <v>2.0412588947364676</v>
      </c>
      <c r="Q25" s="215">
        <f t="shared" si="17"/>
        <v>2.3814687105258789</v>
      </c>
      <c r="R25" s="215">
        <f t="shared" si="17"/>
        <v>2.7216785263152903</v>
      </c>
      <c r="S25" s="215">
        <f t="shared" si="17"/>
        <v>3.0618883421047021</v>
      </c>
      <c r="T25" s="215">
        <f t="shared" si="17"/>
        <v>3.402098157894113</v>
      </c>
      <c r="W25" t="s">
        <v>1019</v>
      </c>
      <c r="X25" t="s">
        <v>1018</v>
      </c>
      <c r="Y25" t="s">
        <v>1046</v>
      </c>
    </row>
    <row r="26" spans="1:29" ht="45">
      <c r="A26" s="256" t="s">
        <v>1221</v>
      </c>
      <c r="B26" s="212">
        <v>5.9</v>
      </c>
      <c r="C26" s="57">
        <v>74</v>
      </c>
      <c r="D26" s="57">
        <f>C26/2</f>
        <v>37</v>
      </c>
      <c r="E26" s="57">
        <v>2</v>
      </c>
      <c r="F26" s="257">
        <f t="shared" si="16"/>
        <v>35</v>
      </c>
      <c r="G26" s="257">
        <v>145</v>
      </c>
      <c r="H26" s="57">
        <v>8</v>
      </c>
      <c r="I26" s="262">
        <f t="shared" si="13"/>
        <v>4.2225826668958426</v>
      </c>
      <c r="J26" s="263">
        <f t="shared" si="14"/>
        <v>4.5527036065307724</v>
      </c>
      <c r="K26" s="212">
        <v>20</v>
      </c>
      <c r="L26" s="251">
        <f>E26*MIN(B26,I26,J26,K26)</f>
        <v>8.4451653337916852</v>
      </c>
      <c r="M26" s="11"/>
      <c r="O26" s="256" t="s">
        <v>1221</v>
      </c>
      <c r="P26" s="215">
        <f t="shared" si="17"/>
        <v>3.8977686155961617</v>
      </c>
      <c r="Q26" s="215">
        <f t="shared" si="17"/>
        <v>4.5473967181955226</v>
      </c>
      <c r="R26" s="215">
        <f t="shared" si="17"/>
        <v>5.1970248207948835</v>
      </c>
      <c r="S26" s="215">
        <f t="shared" si="17"/>
        <v>5.8466529233942435</v>
      </c>
      <c r="T26" s="215">
        <f t="shared" si="17"/>
        <v>6.4962810259936035</v>
      </c>
      <c r="V26" s="13" t="s">
        <v>620</v>
      </c>
      <c r="W26" s="13" t="s">
        <v>624</v>
      </c>
      <c r="X26" s="13" t="s">
        <v>624</v>
      </c>
      <c r="Y26" s="13" t="s">
        <v>624</v>
      </c>
      <c r="Z26" s="13" t="s">
        <v>883</v>
      </c>
      <c r="AA26" s="13" t="s">
        <v>640</v>
      </c>
      <c r="AB26" s="13" t="s">
        <v>884</v>
      </c>
    </row>
    <row r="27" spans="1:29" ht="45">
      <c r="A27" s="256" t="s">
        <v>727</v>
      </c>
      <c r="B27" s="212">
        <v>5.9</v>
      </c>
      <c r="C27" s="57">
        <v>94</v>
      </c>
      <c r="D27" s="57">
        <f t="shared" ref="D27" si="18">C27/2</f>
        <v>47</v>
      </c>
      <c r="E27" s="57">
        <v>2</v>
      </c>
      <c r="F27" s="257">
        <f t="shared" si="16"/>
        <v>35</v>
      </c>
      <c r="G27" s="257">
        <v>145</v>
      </c>
      <c r="H27" s="57">
        <v>8</v>
      </c>
      <c r="I27" s="262">
        <f t="shared" si="13"/>
        <v>4.2225826668958426</v>
      </c>
      <c r="J27" s="263">
        <f t="shared" si="14"/>
        <v>4.5527036065307724</v>
      </c>
      <c r="K27" s="212">
        <v>20</v>
      </c>
      <c r="L27" s="251">
        <f t="shared" ref="L27" si="19">E27*MIN(B27,I27,J27,K27)</f>
        <v>8.4451653337916852</v>
      </c>
      <c r="M27" s="11"/>
      <c r="O27" s="256" t="s">
        <v>727</v>
      </c>
      <c r="P27" s="215">
        <f t="shared" si="17"/>
        <v>3.8977686155961617</v>
      </c>
      <c r="Q27" s="215">
        <f t="shared" si="17"/>
        <v>4.5473967181955226</v>
      </c>
      <c r="R27" s="215">
        <f t="shared" si="17"/>
        <v>5.1970248207948835</v>
      </c>
      <c r="S27" s="215">
        <f t="shared" si="17"/>
        <v>5.8466529233942435</v>
      </c>
      <c r="T27" s="215">
        <f t="shared" si="17"/>
        <v>6.4962810259936035</v>
      </c>
      <c r="V27" s="13">
        <v>1</v>
      </c>
      <c r="W27" s="13" t="str">
        <f>HLOOKUP(RICON!$K$6,'RICON_RICON-S-EK_GIGANT_WALCO '!$Z$26:$AB$29,2,FALSE)</f>
        <v>Innenbereich</v>
      </c>
      <c r="X27" s="13" t="str">
        <f>HLOOKUP(GIGANT!$K$6,'RICON_RICON-S-EK_GIGANT_WALCO '!$Z$26:$AB$29,2,FALSE)</f>
        <v>Innenbereich</v>
      </c>
      <c r="Y27" s="13" t="str">
        <f>HLOOKUP('RICON-S'!$K$7,'RICON_RICON-S-EK_GIGANT_WALCO '!$Z$26:$AB$29,2,FALSE)</f>
        <v>Innenbereich</v>
      </c>
      <c r="Z27" s="13" t="s">
        <v>621</v>
      </c>
      <c r="AA27" s="13" t="s">
        <v>629</v>
      </c>
      <c r="AB27" s="13" t="s">
        <v>894</v>
      </c>
    </row>
    <row r="28" spans="1:29" ht="45">
      <c r="A28" s="256" t="s">
        <v>336</v>
      </c>
      <c r="B28" s="212">
        <v>5.9</v>
      </c>
      <c r="C28" s="57">
        <v>114</v>
      </c>
      <c r="D28" s="57">
        <f t="shared" ref="D28:D34" si="20">C28/2</f>
        <v>57</v>
      </c>
      <c r="E28" s="57">
        <v>2</v>
      </c>
      <c r="F28" s="257">
        <v>35</v>
      </c>
      <c r="G28" s="257">
        <f>160-15</f>
        <v>145</v>
      </c>
      <c r="H28" s="57">
        <v>8</v>
      </c>
      <c r="I28" s="262">
        <f t="shared" si="13"/>
        <v>4.2225826668958426</v>
      </c>
      <c r="J28" s="263">
        <f>($J$37*0.52*SQRT(H28)*G28^0.9*$B$37^0.8)/1000</f>
        <v>9.1054072130615449</v>
      </c>
      <c r="K28" s="212">
        <v>20</v>
      </c>
      <c r="L28" s="251">
        <f t="shared" ref="L28:L34" si="21">E28*MIN(B28,I28,J28,K28)</f>
        <v>8.4451653337916852</v>
      </c>
      <c r="M28" s="11"/>
      <c r="O28" s="256" t="s">
        <v>336</v>
      </c>
      <c r="P28" s="215">
        <f t="shared" si="17"/>
        <v>3.8977686155961617</v>
      </c>
      <c r="Q28" s="215">
        <f t="shared" si="17"/>
        <v>4.5473967181955226</v>
      </c>
      <c r="R28" s="215">
        <f t="shared" si="17"/>
        <v>5.1970248207948835</v>
      </c>
      <c r="S28" s="215">
        <f t="shared" si="17"/>
        <v>5.8466529233942435</v>
      </c>
      <c r="T28" s="215">
        <f t="shared" si="17"/>
        <v>6.4962810259936035</v>
      </c>
      <c r="V28" s="13">
        <v>2</v>
      </c>
      <c r="W28" s="13" t="str">
        <f>HLOOKUP(RICON!$K$6,'RICON_RICON-S-EK_GIGANT_WALCO '!$Z$26:$AB$29,3,FALSE)</f>
        <v>Außenbereich überdacht</v>
      </c>
      <c r="X28" s="13" t="str">
        <f>HLOOKUP(GIGANT!$K$6,'RICON_RICON-S-EK_GIGANT_WALCO '!$Z$26:$AB$29,3,FALSE)</f>
        <v>Außenbereich überdacht</v>
      </c>
      <c r="Y28" s="13" t="str">
        <f>HLOOKUP('RICON-S'!$K$7,'RICON_RICON-S-EK_GIGANT_WALCO '!$Z$26:$AB$29,3,FALSE)</f>
        <v>Außenbereich überdacht</v>
      </c>
      <c r="Z28" s="13" t="s">
        <v>622</v>
      </c>
      <c r="AA28" s="13" t="s">
        <v>1202</v>
      </c>
      <c r="AB28" s="13" t="s">
        <v>895</v>
      </c>
    </row>
    <row r="29" spans="1:29" ht="45">
      <c r="A29" s="256" t="s">
        <v>337</v>
      </c>
      <c r="B29" s="212">
        <v>5.9</v>
      </c>
      <c r="C29" s="57">
        <v>134</v>
      </c>
      <c r="D29" s="57">
        <f t="shared" si="20"/>
        <v>67</v>
      </c>
      <c r="E29" s="57">
        <v>2</v>
      </c>
      <c r="F29" s="257">
        <v>35</v>
      </c>
      <c r="G29" s="257">
        <f>160-15</f>
        <v>145</v>
      </c>
      <c r="H29" s="57">
        <v>8</v>
      </c>
      <c r="I29" s="262">
        <f t="shared" si="13"/>
        <v>4.2225826668958426</v>
      </c>
      <c r="J29" s="263">
        <f>($J$37*0.52*SQRT(H29)*G29^0.9*$B$37^0.8)/1000</f>
        <v>9.1054072130615449</v>
      </c>
      <c r="K29" s="212">
        <v>20</v>
      </c>
      <c r="L29" s="251">
        <f t="shared" si="21"/>
        <v>8.4451653337916852</v>
      </c>
      <c r="M29" s="11"/>
      <c r="O29" s="256" t="s">
        <v>337</v>
      </c>
      <c r="P29" s="215">
        <f t="shared" si="17"/>
        <v>3.8977686155961617</v>
      </c>
      <c r="Q29" s="215">
        <f t="shared" si="17"/>
        <v>4.5473967181955226</v>
      </c>
      <c r="R29" s="215">
        <f t="shared" si="17"/>
        <v>5.1970248207948835</v>
      </c>
      <c r="S29" s="215">
        <f t="shared" si="17"/>
        <v>5.8466529233942435</v>
      </c>
      <c r="T29" s="215">
        <f t="shared" si="17"/>
        <v>6.4962810259936035</v>
      </c>
      <c r="V29" s="13">
        <v>3</v>
      </c>
      <c r="W29" s="13" t="str">
        <f>HLOOKUP(RICON!$K$6,'RICON_RICON-S-EK_GIGANT_WALCO '!$Z$26:$AB$29,4,FALSE)</f>
        <v>Außenbreich</v>
      </c>
      <c r="X29" s="13" t="str">
        <f>HLOOKUP(GIGANT!$K$6,'RICON_RICON-S-EK_GIGANT_WALCO '!$Z$26:$AB$29,4,FALSE)</f>
        <v>Außenbreich</v>
      </c>
      <c r="Y29" s="13" t="str">
        <f>HLOOKUP('RICON-S'!$K$7,'RICON_RICON-S-EK_GIGANT_WALCO '!$Z$26:$AB$29,4,FALSE)</f>
        <v>Außenbreich</v>
      </c>
      <c r="Z29" s="13" t="s">
        <v>623</v>
      </c>
      <c r="AA29" s="13" t="s">
        <v>630</v>
      </c>
      <c r="AB29" s="13" t="s">
        <v>896</v>
      </c>
    </row>
    <row r="30" spans="1:29" ht="45">
      <c r="A30" s="62" t="s">
        <v>338</v>
      </c>
      <c r="B30" s="212">
        <v>5.9</v>
      </c>
      <c r="C30" s="57">
        <v>134</v>
      </c>
      <c r="D30" s="57">
        <f t="shared" si="20"/>
        <v>67</v>
      </c>
      <c r="E30" s="57">
        <f>C30/(C30-D30)</f>
        <v>2</v>
      </c>
      <c r="F30" s="57">
        <v>35</v>
      </c>
      <c r="G30" s="57">
        <v>65</v>
      </c>
      <c r="H30" s="57">
        <v>8</v>
      </c>
      <c r="I30" s="262">
        <f t="shared" si="13"/>
        <v>4.2225826668958426</v>
      </c>
      <c r="J30" s="263">
        <f>($J$36*0.52*SQRT(H30)*G30^0.9*$B$37^0.8)/1000</f>
        <v>2.2113638026311735</v>
      </c>
      <c r="K30" s="212">
        <v>20</v>
      </c>
      <c r="L30" s="251">
        <f t="shared" si="21"/>
        <v>4.422727605262347</v>
      </c>
      <c r="M30" s="11"/>
      <c r="O30" s="62" t="s">
        <v>338</v>
      </c>
      <c r="P30" s="215">
        <f t="shared" si="17"/>
        <v>2.0412588947364676</v>
      </c>
      <c r="Q30" s="215">
        <f t="shared" si="17"/>
        <v>2.3814687105258789</v>
      </c>
      <c r="R30" s="215">
        <f t="shared" si="17"/>
        <v>2.7216785263152903</v>
      </c>
      <c r="S30" s="215">
        <f t="shared" si="17"/>
        <v>3.0618883421047021</v>
      </c>
      <c r="T30" s="215">
        <f t="shared" si="17"/>
        <v>3.402098157894113</v>
      </c>
    </row>
    <row r="31" spans="1:29" ht="46.5" customHeight="1">
      <c r="A31" s="62" t="s">
        <v>339</v>
      </c>
      <c r="B31" s="212">
        <v>5.9</v>
      </c>
      <c r="C31" s="57">
        <v>174</v>
      </c>
      <c r="D31" s="57">
        <f t="shared" si="20"/>
        <v>87</v>
      </c>
      <c r="E31" s="57">
        <f>C31/(C31-D31)</f>
        <v>2</v>
      </c>
      <c r="F31" s="57">
        <v>35</v>
      </c>
      <c r="G31" s="57">
        <v>65</v>
      </c>
      <c r="H31" s="57">
        <v>8</v>
      </c>
      <c r="I31" s="262">
        <f t="shared" si="13"/>
        <v>4.2225826668958426</v>
      </c>
      <c r="J31" s="263">
        <f>($J$36*0.52*SQRT(H31)*G31^0.9*$B$37^0.8)/1000</f>
        <v>2.2113638026311735</v>
      </c>
      <c r="K31" s="212">
        <v>20</v>
      </c>
      <c r="L31" s="251">
        <f t="shared" si="21"/>
        <v>4.422727605262347</v>
      </c>
      <c r="M31" s="11"/>
      <c r="O31" s="62" t="s">
        <v>339</v>
      </c>
      <c r="P31" s="215">
        <f t="shared" si="17"/>
        <v>2.0412588947364676</v>
      </c>
      <c r="Q31" s="215">
        <f t="shared" si="17"/>
        <v>2.3814687105258789</v>
      </c>
      <c r="R31" s="215">
        <f t="shared" si="17"/>
        <v>2.7216785263152903</v>
      </c>
      <c r="S31" s="215">
        <f t="shared" si="17"/>
        <v>3.0618883421047021</v>
      </c>
      <c r="T31" s="215">
        <f t="shared" si="17"/>
        <v>3.402098157894113</v>
      </c>
    </row>
    <row r="32" spans="1:29" ht="46.5" customHeight="1">
      <c r="A32" s="62" t="s">
        <v>340</v>
      </c>
      <c r="B32" s="212">
        <v>5.9</v>
      </c>
      <c r="C32" s="57">
        <v>214</v>
      </c>
      <c r="D32" s="57">
        <f t="shared" si="20"/>
        <v>107</v>
      </c>
      <c r="E32" s="57">
        <f>C32/(C32-D32)</f>
        <v>2</v>
      </c>
      <c r="F32" s="57">
        <v>35</v>
      </c>
      <c r="G32" s="57">
        <v>65</v>
      </c>
      <c r="H32" s="57">
        <v>8</v>
      </c>
      <c r="I32" s="262">
        <f t="shared" si="13"/>
        <v>4.2225826668958426</v>
      </c>
      <c r="J32" s="263">
        <f>($J$36*0.52*SQRT(H32)*G32^0.9*$B$37^0.8)/1000</f>
        <v>2.2113638026311735</v>
      </c>
      <c r="K32" s="212">
        <v>20</v>
      </c>
      <c r="L32" s="251">
        <f t="shared" si="21"/>
        <v>4.422727605262347</v>
      </c>
      <c r="M32" s="11"/>
      <c r="O32" s="62" t="s">
        <v>340</v>
      </c>
      <c r="P32" s="215">
        <f t="shared" si="17"/>
        <v>2.0412588947364676</v>
      </c>
      <c r="Q32" s="215">
        <f t="shared" si="17"/>
        <v>2.3814687105258789</v>
      </c>
      <c r="R32" s="215">
        <f t="shared" si="17"/>
        <v>2.7216785263152903</v>
      </c>
      <c r="S32" s="215">
        <f t="shared" si="17"/>
        <v>3.0618883421047021</v>
      </c>
      <c r="T32" s="215">
        <f t="shared" si="17"/>
        <v>3.402098157894113</v>
      </c>
    </row>
    <row r="33" spans="1:20" ht="46.5" customHeight="1">
      <c r="A33" s="62" t="s">
        <v>341</v>
      </c>
      <c r="B33" s="212">
        <v>5.9</v>
      </c>
      <c r="C33" s="57">
        <v>254</v>
      </c>
      <c r="D33" s="57">
        <f t="shared" si="20"/>
        <v>127</v>
      </c>
      <c r="E33" s="57">
        <f>C33/(C33-D33)</f>
        <v>2</v>
      </c>
      <c r="F33" s="57">
        <v>35</v>
      </c>
      <c r="G33" s="57">
        <v>65</v>
      </c>
      <c r="H33" s="57">
        <v>8</v>
      </c>
      <c r="I33" s="262">
        <f t="shared" si="13"/>
        <v>4.2225826668958426</v>
      </c>
      <c r="J33" s="263">
        <f>($J$36*0.52*SQRT(H33)*G33^0.9*$B$37^0.8)/1000</f>
        <v>2.2113638026311735</v>
      </c>
      <c r="K33" s="212">
        <v>20</v>
      </c>
      <c r="L33" s="251">
        <f t="shared" si="21"/>
        <v>4.422727605262347</v>
      </c>
      <c r="M33" s="11"/>
      <c r="O33" s="62" t="s">
        <v>341</v>
      </c>
      <c r="P33" s="215">
        <f t="shared" si="17"/>
        <v>2.0412588947364676</v>
      </c>
      <c r="Q33" s="215">
        <f t="shared" si="17"/>
        <v>2.3814687105258789</v>
      </c>
      <c r="R33" s="215">
        <f t="shared" si="17"/>
        <v>2.7216785263152903</v>
      </c>
      <c r="S33" s="215">
        <f t="shared" si="17"/>
        <v>3.0618883421047021</v>
      </c>
      <c r="T33" s="215">
        <f t="shared" si="17"/>
        <v>3.402098157894113</v>
      </c>
    </row>
    <row r="34" spans="1:20" ht="46.5" customHeight="1">
      <c r="A34" s="62" t="s">
        <v>342</v>
      </c>
      <c r="B34" s="212">
        <v>5.9</v>
      </c>
      <c r="C34" s="57">
        <v>294</v>
      </c>
      <c r="D34" s="57">
        <f t="shared" si="20"/>
        <v>147</v>
      </c>
      <c r="E34" s="57">
        <f>C34/(C34-D34)</f>
        <v>2</v>
      </c>
      <c r="F34" s="57">
        <v>35</v>
      </c>
      <c r="G34" s="57">
        <v>65</v>
      </c>
      <c r="H34" s="57">
        <v>8</v>
      </c>
      <c r="I34" s="262">
        <f t="shared" si="13"/>
        <v>4.2225826668958426</v>
      </c>
      <c r="J34" s="263">
        <f>($J$36*0.52*SQRT(H34)*G34^0.9*$B$37^0.8)/1000</f>
        <v>2.2113638026311735</v>
      </c>
      <c r="K34" s="212">
        <v>20</v>
      </c>
      <c r="L34" s="251">
        <f t="shared" si="21"/>
        <v>4.422727605262347</v>
      </c>
      <c r="M34" s="11"/>
      <c r="O34" s="62" t="s">
        <v>342</v>
      </c>
      <c r="P34" s="215">
        <f t="shared" si="17"/>
        <v>2.0412588947364676</v>
      </c>
      <c r="Q34" s="215">
        <f t="shared" si="17"/>
        <v>2.3814687105258789</v>
      </c>
      <c r="R34" s="215">
        <f t="shared" si="17"/>
        <v>2.7216785263152903</v>
      </c>
      <c r="S34" s="215">
        <f t="shared" si="17"/>
        <v>3.0618883421047021</v>
      </c>
      <c r="T34" s="215">
        <f t="shared" si="17"/>
        <v>3.402098157894113</v>
      </c>
    </row>
    <row r="36" spans="1:20">
      <c r="A36" s="19" t="s">
        <v>35</v>
      </c>
      <c r="B36" t="str">
        <f>RICON!E5</f>
        <v>GL24h</v>
      </c>
      <c r="D36" s="66"/>
      <c r="E36" s="66"/>
      <c r="F36" s="66"/>
      <c r="G36" s="66"/>
      <c r="H36" s="66"/>
      <c r="I36" s="242" t="s">
        <v>294</v>
      </c>
      <c r="J36" s="20">
        <v>0.3</v>
      </c>
      <c r="K36" s="222"/>
      <c r="L36" s="366"/>
      <c r="M36" s="104"/>
      <c r="O36" s="68"/>
      <c r="P36" s="266"/>
      <c r="Q36" s="266"/>
      <c r="R36" s="266"/>
      <c r="S36" s="266"/>
      <c r="T36" s="266"/>
    </row>
    <row r="37" spans="1:20" ht="18">
      <c r="A37" s="21" t="s">
        <v>37</v>
      </c>
      <c r="B37">
        <f>VLOOKUP(B36,V7:W18,2,FALSE)</f>
        <v>385</v>
      </c>
      <c r="C37" t="s">
        <v>38</v>
      </c>
      <c r="D37" s="66"/>
      <c r="E37" s="66"/>
      <c r="F37" s="66"/>
      <c r="G37" s="66"/>
      <c r="H37" s="66"/>
      <c r="I37" s="242" t="s">
        <v>294</v>
      </c>
      <c r="J37" s="20">
        <v>0.6</v>
      </c>
      <c r="K37" s="222"/>
      <c r="L37" s="366"/>
      <c r="M37" s="104"/>
      <c r="O37" s="68"/>
      <c r="P37" s="266"/>
      <c r="Q37" s="266"/>
      <c r="R37" s="266"/>
      <c r="S37" s="266"/>
      <c r="T37" s="266"/>
    </row>
    <row r="38" spans="1:20">
      <c r="A38" s="68"/>
      <c r="B38" s="222"/>
      <c r="C38" s="66"/>
      <c r="D38" s="66"/>
      <c r="E38" s="66"/>
      <c r="F38" s="66"/>
      <c r="G38" s="66"/>
      <c r="H38" s="66"/>
      <c r="I38" s="363"/>
      <c r="J38" s="359"/>
      <c r="K38" s="222"/>
      <c r="L38" s="366"/>
      <c r="M38" s="104"/>
      <c r="O38" s="68"/>
      <c r="P38" s="266"/>
      <c r="Q38" s="266"/>
      <c r="R38" s="266"/>
      <c r="S38" s="266"/>
      <c r="T38" s="266"/>
    </row>
    <row r="39" spans="1:20" ht="18.75">
      <c r="A39" s="50" t="s">
        <v>1252</v>
      </c>
      <c r="B39" s="222"/>
      <c r="C39" s="66"/>
      <c r="D39" s="66"/>
      <c r="E39" s="66"/>
      <c r="F39" s="66"/>
      <c r="G39" s="66"/>
      <c r="H39" s="66"/>
      <c r="I39" s="363"/>
      <c r="J39" s="359"/>
      <c r="K39" s="222"/>
      <c r="L39" s="366"/>
      <c r="M39" s="104"/>
      <c r="O39" s="68"/>
      <c r="P39" s="266"/>
      <c r="Q39" s="266"/>
      <c r="R39" s="266"/>
      <c r="S39" s="266"/>
      <c r="T39" s="266"/>
    </row>
    <row r="40" spans="1:20">
      <c r="A40" s="68"/>
      <c r="B40" s="222"/>
      <c r="C40" s="66"/>
      <c r="D40" s="66"/>
      <c r="E40" s="66"/>
      <c r="F40" s="66"/>
      <c r="G40" s="66"/>
      <c r="H40" s="66"/>
      <c r="I40" s="363"/>
      <c r="J40" s="359"/>
      <c r="K40" s="222"/>
      <c r="L40" s="366"/>
      <c r="M40" s="104"/>
      <c r="O40" s="68"/>
      <c r="P40" s="266"/>
      <c r="Q40" s="266"/>
      <c r="R40" s="266"/>
      <c r="S40" s="266"/>
      <c r="T40" s="266"/>
    </row>
    <row r="41" spans="1:20" ht="18">
      <c r="A41" s="3" t="s">
        <v>2</v>
      </c>
      <c r="B41" s="4" t="s">
        <v>3</v>
      </c>
      <c r="C41" s="4" t="s">
        <v>4</v>
      </c>
      <c r="D41" s="4" t="s">
        <v>5</v>
      </c>
      <c r="E41" s="4" t="s">
        <v>6</v>
      </c>
      <c r="F41" s="4" t="s">
        <v>7</v>
      </c>
      <c r="G41" s="4" t="s">
        <v>8</v>
      </c>
      <c r="H41" s="4" t="s">
        <v>9</v>
      </c>
      <c r="I41" s="4" t="s">
        <v>10</v>
      </c>
      <c r="J41" s="4" t="s">
        <v>11</v>
      </c>
      <c r="K41" s="4" t="s">
        <v>12</v>
      </c>
      <c r="L41" s="5" t="s">
        <v>13</v>
      </c>
      <c r="M41" s="104"/>
      <c r="O41" s="3" t="s">
        <v>2</v>
      </c>
      <c r="P41" s="664" t="s">
        <v>14</v>
      </c>
      <c r="Q41" s="665"/>
      <c r="R41" s="665"/>
      <c r="S41" s="665"/>
      <c r="T41" s="666"/>
    </row>
    <row r="42" spans="1:20">
      <c r="A42" s="7"/>
      <c r="B42" s="8" t="s">
        <v>17</v>
      </c>
      <c r="C42" s="8" t="s">
        <v>18</v>
      </c>
      <c r="D42" s="8" t="s">
        <v>18</v>
      </c>
      <c r="E42" s="8" t="s">
        <v>19</v>
      </c>
      <c r="F42" s="8" t="s">
        <v>18</v>
      </c>
      <c r="G42" s="8" t="s">
        <v>18</v>
      </c>
      <c r="H42" s="8" t="s">
        <v>18</v>
      </c>
      <c r="I42" s="8" t="s">
        <v>17</v>
      </c>
      <c r="J42" s="8" t="s">
        <v>17</v>
      </c>
      <c r="K42" s="8" t="s">
        <v>17</v>
      </c>
      <c r="L42" s="9" t="s">
        <v>17</v>
      </c>
      <c r="M42" s="104"/>
      <c r="O42" s="7"/>
      <c r="P42" s="10">
        <v>0.6</v>
      </c>
      <c r="Q42" s="10">
        <v>0.7</v>
      </c>
      <c r="R42" s="10">
        <v>0.8</v>
      </c>
      <c r="S42" s="10">
        <v>0.9</v>
      </c>
      <c r="T42" s="10">
        <v>1</v>
      </c>
    </row>
    <row r="43" spans="1:20" ht="45">
      <c r="A43" s="269" t="s">
        <v>1024</v>
      </c>
      <c r="B43" s="260">
        <v>9</v>
      </c>
      <c r="C43" s="261">
        <v>60</v>
      </c>
      <c r="D43" s="261">
        <f t="shared" ref="D43" si="22">C43/2</f>
        <v>30</v>
      </c>
      <c r="E43" s="261">
        <f t="shared" ref="E43" si="23">(2*C43)/(C43-D43)</f>
        <v>4</v>
      </c>
      <c r="F43" s="261">
        <f t="shared" ref="F43:F48" si="24">80-10</f>
        <v>70</v>
      </c>
      <c r="G43" s="261">
        <f>160-15</f>
        <v>145</v>
      </c>
      <c r="H43" s="261">
        <v>8</v>
      </c>
      <c r="I43" s="262">
        <f t="shared" ref="I43:I52" si="25">(0.52*SQRT(H43)*(F43)^0.9*$B$54^0.8)/1000</f>
        <v>7.8796178754106014</v>
      </c>
      <c r="J43" s="263">
        <f t="shared" ref="J43:J52" si="26">($J$53*0.52*SQRT(H43)*G43^0.9*$B$54^0.8)/1000</f>
        <v>9.1054072130615449</v>
      </c>
      <c r="K43" s="260">
        <v>20</v>
      </c>
      <c r="L43" s="264">
        <f>E43*MIN(I43,J43,K43)</f>
        <v>31.518471501642406</v>
      </c>
      <c r="M43" s="104"/>
      <c r="O43" s="269" t="s">
        <v>1024</v>
      </c>
      <c r="P43" s="265">
        <f t="shared" si="2"/>
        <v>14.546986846911878</v>
      </c>
      <c r="Q43" s="265">
        <f t="shared" si="2"/>
        <v>16.971484654730524</v>
      </c>
      <c r="R43" s="265">
        <f t="shared" si="2"/>
        <v>19.395982462549174</v>
      </c>
      <c r="S43" s="265">
        <f t="shared" si="2"/>
        <v>21.82048027036782</v>
      </c>
      <c r="T43" s="265">
        <f t="shared" si="2"/>
        <v>24.244978078186467</v>
      </c>
    </row>
    <row r="44" spans="1:20" ht="45">
      <c r="A44" s="269" t="s">
        <v>1025</v>
      </c>
      <c r="B44" s="260">
        <v>9</v>
      </c>
      <c r="C44" s="261">
        <v>60</v>
      </c>
      <c r="D44" s="261">
        <f t="shared" si="7"/>
        <v>30</v>
      </c>
      <c r="E44" s="261">
        <f t="shared" ref="E44:E52" si="27">(2*C44)/(C44-D44)</f>
        <v>4</v>
      </c>
      <c r="F44" s="261">
        <f t="shared" si="24"/>
        <v>70</v>
      </c>
      <c r="G44" s="261">
        <f>160-15</f>
        <v>145</v>
      </c>
      <c r="H44" s="261">
        <v>8</v>
      </c>
      <c r="I44" s="262">
        <f t="shared" si="25"/>
        <v>7.8796178754106014</v>
      </c>
      <c r="J44" s="263">
        <f t="shared" si="26"/>
        <v>9.1054072130615449</v>
      </c>
      <c r="K44" s="260">
        <v>20</v>
      </c>
      <c r="L44" s="264">
        <f t="shared" ref="L44:L52" si="28">E44*MIN(I44,J44,K44)</f>
        <v>31.518471501642406</v>
      </c>
      <c r="O44" s="269" t="s">
        <v>1025</v>
      </c>
      <c r="P44" s="265">
        <f t="shared" si="2"/>
        <v>14.546986846911878</v>
      </c>
      <c r="Q44" s="265">
        <f t="shared" si="2"/>
        <v>16.971484654730524</v>
      </c>
      <c r="R44" s="265">
        <f t="shared" si="2"/>
        <v>19.395982462549174</v>
      </c>
      <c r="S44" s="265">
        <f t="shared" si="2"/>
        <v>21.82048027036782</v>
      </c>
      <c r="T44" s="265">
        <f t="shared" si="2"/>
        <v>24.244978078186467</v>
      </c>
    </row>
    <row r="45" spans="1:20" ht="45">
      <c r="A45" s="224" t="s">
        <v>1026</v>
      </c>
      <c r="B45" s="212">
        <v>9</v>
      </c>
      <c r="C45" s="57">
        <v>60</v>
      </c>
      <c r="D45" s="57">
        <f t="shared" si="7"/>
        <v>30</v>
      </c>
      <c r="E45" s="57">
        <f t="shared" si="27"/>
        <v>4</v>
      </c>
      <c r="F45" s="57">
        <f t="shared" si="24"/>
        <v>70</v>
      </c>
      <c r="G45" s="57">
        <f>240-15</f>
        <v>225</v>
      </c>
      <c r="H45" s="57">
        <v>8</v>
      </c>
      <c r="I45" s="248">
        <f t="shared" si="25"/>
        <v>7.8796178754106014</v>
      </c>
      <c r="J45" s="123">
        <f t="shared" si="26"/>
        <v>13.521735531614226</v>
      </c>
      <c r="K45" s="260">
        <v>20</v>
      </c>
      <c r="L45" s="264">
        <f t="shared" si="28"/>
        <v>31.518471501642406</v>
      </c>
      <c r="O45" s="224" t="s">
        <v>1026</v>
      </c>
      <c r="P45" s="215">
        <f t="shared" ref="P45:T52" si="29">$E45*MIN($B45/1,$I45*P$6/1.3,$J45*P$6/1.3,$K45/1.25)</f>
        <v>14.546986846911878</v>
      </c>
      <c r="Q45" s="215">
        <f t="shared" si="29"/>
        <v>16.971484654730524</v>
      </c>
      <c r="R45" s="215">
        <f t="shared" si="29"/>
        <v>19.395982462549174</v>
      </c>
      <c r="S45" s="215">
        <f t="shared" si="29"/>
        <v>21.82048027036782</v>
      </c>
      <c r="T45" s="215">
        <f t="shared" si="29"/>
        <v>24.244978078186467</v>
      </c>
    </row>
    <row r="46" spans="1:20" ht="45">
      <c r="A46" s="224" t="s">
        <v>1027</v>
      </c>
      <c r="B46" s="212">
        <v>9</v>
      </c>
      <c r="C46" s="57">
        <v>120</v>
      </c>
      <c r="D46" s="57">
        <f t="shared" ref="D46" si="30">C46/2</f>
        <v>60</v>
      </c>
      <c r="E46" s="57">
        <f t="shared" ref="E46" si="31">(2*C46)/(C46-D46)</f>
        <v>4</v>
      </c>
      <c r="F46" s="57">
        <f t="shared" si="24"/>
        <v>70</v>
      </c>
      <c r="G46" s="57">
        <f>160-15</f>
        <v>145</v>
      </c>
      <c r="H46" s="57">
        <v>8</v>
      </c>
      <c r="I46" s="248">
        <f t="shared" si="25"/>
        <v>7.8796178754106014</v>
      </c>
      <c r="J46" s="123">
        <f t="shared" si="26"/>
        <v>9.1054072130615449</v>
      </c>
      <c r="K46" s="260">
        <v>20</v>
      </c>
      <c r="L46" s="264">
        <f t="shared" si="28"/>
        <v>31.518471501642406</v>
      </c>
      <c r="O46" s="224" t="s">
        <v>1027</v>
      </c>
      <c r="P46" s="215">
        <f t="shared" si="29"/>
        <v>14.546986846911878</v>
      </c>
      <c r="Q46" s="215">
        <f t="shared" si="29"/>
        <v>16.971484654730524</v>
      </c>
      <c r="R46" s="215">
        <f t="shared" si="29"/>
        <v>19.395982462549174</v>
      </c>
      <c r="S46" s="215">
        <f t="shared" si="29"/>
        <v>21.82048027036782</v>
      </c>
      <c r="T46" s="215">
        <f t="shared" si="29"/>
        <v>24.244978078186467</v>
      </c>
    </row>
    <row r="47" spans="1:20" ht="45">
      <c r="A47" s="224" t="s">
        <v>1028</v>
      </c>
      <c r="B47" s="212">
        <v>9</v>
      </c>
      <c r="C47" s="57">
        <v>120</v>
      </c>
      <c r="D47" s="57">
        <f t="shared" si="7"/>
        <v>60</v>
      </c>
      <c r="E47" s="57">
        <f t="shared" si="27"/>
        <v>4</v>
      </c>
      <c r="F47" s="57">
        <f t="shared" si="24"/>
        <v>70</v>
      </c>
      <c r="G47" s="57">
        <f>160-15</f>
        <v>145</v>
      </c>
      <c r="H47" s="57">
        <v>8</v>
      </c>
      <c r="I47" s="248">
        <f t="shared" si="25"/>
        <v>7.8796178754106014</v>
      </c>
      <c r="J47" s="123">
        <f t="shared" si="26"/>
        <v>9.1054072130615449</v>
      </c>
      <c r="K47" s="260">
        <v>20</v>
      </c>
      <c r="L47" s="264">
        <f t="shared" si="28"/>
        <v>31.518471501642406</v>
      </c>
      <c r="O47" s="224" t="s">
        <v>1028</v>
      </c>
      <c r="P47" s="215">
        <f t="shared" si="29"/>
        <v>14.546986846911878</v>
      </c>
      <c r="Q47" s="215">
        <f t="shared" si="29"/>
        <v>16.971484654730524</v>
      </c>
      <c r="R47" s="215">
        <f t="shared" si="29"/>
        <v>19.395982462549174</v>
      </c>
      <c r="S47" s="215">
        <f t="shared" si="29"/>
        <v>21.82048027036782</v>
      </c>
      <c r="T47" s="215">
        <f t="shared" si="29"/>
        <v>24.244978078186467</v>
      </c>
    </row>
    <row r="48" spans="1:20" ht="45">
      <c r="A48" s="224" t="s">
        <v>1029</v>
      </c>
      <c r="B48" s="212">
        <v>9</v>
      </c>
      <c r="C48" s="57">
        <v>120</v>
      </c>
      <c r="D48" s="57">
        <f t="shared" si="7"/>
        <v>60</v>
      </c>
      <c r="E48" s="57">
        <f t="shared" si="27"/>
        <v>4</v>
      </c>
      <c r="F48" s="57">
        <f t="shared" si="24"/>
        <v>70</v>
      </c>
      <c r="G48" s="57">
        <f>240-15</f>
        <v>225</v>
      </c>
      <c r="H48" s="57">
        <v>8</v>
      </c>
      <c r="I48" s="248">
        <f t="shared" si="25"/>
        <v>7.8796178754106014</v>
      </c>
      <c r="J48" s="123">
        <f t="shared" si="26"/>
        <v>13.521735531614226</v>
      </c>
      <c r="K48" s="260">
        <v>20</v>
      </c>
      <c r="L48" s="264">
        <f t="shared" si="28"/>
        <v>31.518471501642406</v>
      </c>
      <c r="O48" s="224" t="s">
        <v>1029</v>
      </c>
      <c r="P48" s="215">
        <f t="shared" si="29"/>
        <v>14.546986846911878</v>
      </c>
      <c r="Q48" s="215">
        <f t="shared" si="29"/>
        <v>16.971484654730524</v>
      </c>
      <c r="R48" s="215">
        <f t="shared" si="29"/>
        <v>19.395982462549174</v>
      </c>
      <c r="S48" s="215">
        <f t="shared" si="29"/>
        <v>21.82048027036782</v>
      </c>
      <c r="T48" s="215">
        <f t="shared" si="29"/>
        <v>24.244978078186467</v>
      </c>
    </row>
    <row r="49" spans="1:20" ht="45">
      <c r="A49" s="224" t="s">
        <v>1030</v>
      </c>
      <c r="B49" s="260">
        <v>9</v>
      </c>
      <c r="C49" s="261">
        <v>120</v>
      </c>
      <c r="D49" s="261">
        <f t="shared" ref="D49" si="32">C49/2</f>
        <v>60</v>
      </c>
      <c r="E49" s="261">
        <f t="shared" ref="E49" si="33">(2*C49)/(C49-D49)</f>
        <v>4</v>
      </c>
      <c r="F49" s="261">
        <f>100-15</f>
        <v>85</v>
      </c>
      <c r="G49" s="261">
        <f>200-20</f>
        <v>180</v>
      </c>
      <c r="H49" s="261">
        <v>10</v>
      </c>
      <c r="I49" s="267">
        <f t="shared" si="25"/>
        <v>10.491774806064372</v>
      </c>
      <c r="J49" s="267">
        <f t="shared" si="26"/>
        <v>12.367115938864831</v>
      </c>
      <c r="K49" s="260">
        <v>32</v>
      </c>
      <c r="L49" s="264">
        <f t="shared" si="28"/>
        <v>41.967099224257488</v>
      </c>
      <c r="O49" s="224" t="s">
        <v>1030</v>
      </c>
      <c r="P49" s="215">
        <f t="shared" si="29"/>
        <v>19.369430411195761</v>
      </c>
      <c r="Q49" s="215">
        <f t="shared" si="29"/>
        <v>22.597668813061723</v>
      </c>
      <c r="R49" s="215">
        <f t="shared" si="29"/>
        <v>25.825907214927689</v>
      </c>
      <c r="S49" s="215">
        <f t="shared" si="29"/>
        <v>29.054145616793647</v>
      </c>
      <c r="T49" s="215">
        <f t="shared" si="29"/>
        <v>32.282384018659606</v>
      </c>
    </row>
    <row r="50" spans="1:20" ht="45">
      <c r="A50" s="224" t="s">
        <v>1031</v>
      </c>
      <c r="B50" s="260">
        <v>9</v>
      </c>
      <c r="C50" s="261">
        <v>120</v>
      </c>
      <c r="D50" s="261">
        <f t="shared" si="7"/>
        <v>60</v>
      </c>
      <c r="E50" s="261">
        <f t="shared" si="27"/>
        <v>4</v>
      </c>
      <c r="F50" s="261">
        <f>100-15</f>
        <v>85</v>
      </c>
      <c r="G50" s="261">
        <f>200-20</f>
        <v>180</v>
      </c>
      <c r="H50" s="261">
        <v>10</v>
      </c>
      <c r="I50" s="267">
        <f t="shared" si="25"/>
        <v>10.491774806064372</v>
      </c>
      <c r="J50" s="267">
        <f t="shared" si="26"/>
        <v>12.367115938864831</v>
      </c>
      <c r="K50" s="260">
        <v>32</v>
      </c>
      <c r="L50" s="264">
        <f t="shared" si="28"/>
        <v>41.967099224257488</v>
      </c>
      <c r="O50" s="224" t="s">
        <v>1031</v>
      </c>
      <c r="P50" s="215">
        <f t="shared" si="29"/>
        <v>19.369430411195761</v>
      </c>
      <c r="Q50" s="215">
        <f t="shared" si="29"/>
        <v>22.597668813061723</v>
      </c>
      <c r="R50" s="215">
        <f t="shared" si="29"/>
        <v>25.825907214927689</v>
      </c>
      <c r="S50" s="215">
        <f t="shared" si="29"/>
        <v>29.054145616793647</v>
      </c>
      <c r="T50" s="215">
        <f t="shared" si="29"/>
        <v>32.282384018659606</v>
      </c>
    </row>
    <row r="51" spans="1:20" ht="45">
      <c r="A51" s="224" t="s">
        <v>1032</v>
      </c>
      <c r="B51" s="260">
        <v>9</v>
      </c>
      <c r="C51" s="261">
        <v>210</v>
      </c>
      <c r="D51" s="261">
        <f t="shared" ref="D51" si="34">C51/2</f>
        <v>105</v>
      </c>
      <c r="E51" s="261">
        <f t="shared" ref="E51" si="35">(2*C51)/(C51-D51)</f>
        <v>4</v>
      </c>
      <c r="F51" s="261">
        <f>100-15</f>
        <v>85</v>
      </c>
      <c r="G51" s="261">
        <f>200-20</f>
        <v>180</v>
      </c>
      <c r="H51" s="261">
        <v>10</v>
      </c>
      <c r="I51" s="267">
        <f t="shared" si="25"/>
        <v>10.491774806064372</v>
      </c>
      <c r="J51" s="267">
        <f t="shared" si="26"/>
        <v>12.367115938864831</v>
      </c>
      <c r="K51" s="260">
        <v>32</v>
      </c>
      <c r="L51" s="264">
        <f t="shared" si="28"/>
        <v>41.967099224257488</v>
      </c>
      <c r="O51" s="224" t="s">
        <v>1032</v>
      </c>
      <c r="P51" s="215">
        <f t="shared" si="29"/>
        <v>19.369430411195761</v>
      </c>
      <c r="Q51" s="215">
        <f t="shared" si="29"/>
        <v>22.597668813061723</v>
      </c>
      <c r="R51" s="215">
        <f t="shared" si="29"/>
        <v>25.825907214927689</v>
      </c>
      <c r="S51" s="215">
        <f t="shared" si="29"/>
        <v>29.054145616793647</v>
      </c>
      <c r="T51" s="215">
        <f t="shared" si="29"/>
        <v>32.282384018659606</v>
      </c>
    </row>
    <row r="52" spans="1:20" ht="45">
      <c r="A52" s="224" t="s">
        <v>1033</v>
      </c>
      <c r="B52" s="260">
        <v>9</v>
      </c>
      <c r="C52" s="261">
        <v>210</v>
      </c>
      <c r="D52" s="261">
        <f t="shared" si="7"/>
        <v>105</v>
      </c>
      <c r="E52" s="261">
        <f t="shared" si="27"/>
        <v>4</v>
      </c>
      <c r="F52" s="261">
        <f>100-15</f>
        <v>85</v>
      </c>
      <c r="G52" s="261">
        <f>200-20</f>
        <v>180</v>
      </c>
      <c r="H52" s="261">
        <v>10</v>
      </c>
      <c r="I52" s="267">
        <f t="shared" si="25"/>
        <v>10.491774806064372</v>
      </c>
      <c r="J52" s="267">
        <f t="shared" si="26"/>
        <v>12.367115938864831</v>
      </c>
      <c r="K52" s="260">
        <v>32</v>
      </c>
      <c r="L52" s="264">
        <f t="shared" si="28"/>
        <v>41.967099224257488</v>
      </c>
      <c r="O52" s="224" t="s">
        <v>1033</v>
      </c>
      <c r="P52" s="215">
        <f t="shared" si="29"/>
        <v>19.369430411195761</v>
      </c>
      <c r="Q52" s="215">
        <f t="shared" si="29"/>
        <v>22.597668813061723</v>
      </c>
      <c r="R52" s="215">
        <f t="shared" si="29"/>
        <v>25.825907214927689</v>
      </c>
      <c r="S52" s="215">
        <f t="shared" si="29"/>
        <v>29.054145616793647</v>
      </c>
      <c r="T52" s="215">
        <f t="shared" si="29"/>
        <v>32.282384018659606</v>
      </c>
    </row>
    <row r="53" spans="1:20">
      <c r="A53" s="19" t="s">
        <v>35</v>
      </c>
      <c r="B53" t="str">
        <f>'RICON-S'!E6</f>
        <v>GL24h</v>
      </c>
      <c r="I53" s="242" t="s">
        <v>294</v>
      </c>
      <c r="J53" s="20">
        <v>0.6</v>
      </c>
      <c r="O53" s="68"/>
      <c r="P53" s="266"/>
      <c r="Q53" s="266"/>
      <c r="R53" s="266"/>
      <c r="S53" s="266"/>
      <c r="T53" s="266"/>
    </row>
    <row r="54" spans="1:20" ht="18">
      <c r="A54" s="21" t="s">
        <v>37</v>
      </c>
      <c r="B54">
        <f>VLOOKUP(B53,$V$7:$W$18,2,FALSE)</f>
        <v>385</v>
      </c>
      <c r="C54" t="s">
        <v>38</v>
      </c>
      <c r="O54" s="68"/>
      <c r="P54" s="266"/>
      <c r="Q54" s="266"/>
      <c r="R54" s="266"/>
      <c r="S54" s="266"/>
      <c r="T54" s="266"/>
    </row>
    <row r="55" spans="1:20" ht="30.75" customHeight="1">
      <c r="O55" s="68"/>
      <c r="P55" s="266"/>
      <c r="Q55" s="266"/>
      <c r="R55" s="266"/>
      <c r="S55" s="266"/>
      <c r="T55" s="266"/>
    </row>
    <row r="56" spans="1:20" ht="18.75">
      <c r="A56" s="50" t="s">
        <v>1253</v>
      </c>
      <c r="B56" s="222"/>
      <c r="C56" s="66"/>
      <c r="D56" s="66"/>
      <c r="E56" s="66"/>
      <c r="F56" s="66"/>
      <c r="G56" s="66"/>
      <c r="H56" s="66"/>
      <c r="I56" s="363"/>
      <c r="J56" s="359"/>
      <c r="K56" s="222"/>
      <c r="L56" s="366"/>
      <c r="O56" s="68"/>
      <c r="P56" s="266"/>
      <c r="Q56" s="266"/>
      <c r="R56" s="266"/>
      <c r="S56" s="266"/>
      <c r="T56" s="266"/>
    </row>
    <row r="57" spans="1:20">
      <c r="A57" s="68"/>
      <c r="B57" s="222"/>
      <c r="C57" s="66"/>
      <c r="D57" s="66"/>
      <c r="E57" s="66"/>
      <c r="F57" s="66"/>
      <c r="G57" s="66"/>
      <c r="H57" s="66"/>
      <c r="I57" s="363"/>
      <c r="J57" s="359"/>
      <c r="K57" s="222"/>
      <c r="L57" s="366"/>
      <c r="M57" s="104"/>
      <c r="O57" s="68"/>
      <c r="P57" s="266"/>
      <c r="Q57" s="266"/>
      <c r="R57" s="266"/>
      <c r="S57" s="266"/>
      <c r="T57" s="266"/>
    </row>
    <row r="58" spans="1:20" ht="18">
      <c r="A58" s="3" t="s">
        <v>2</v>
      </c>
      <c r="B58" s="4" t="s">
        <v>3</v>
      </c>
      <c r="C58" s="4" t="s">
        <v>4</v>
      </c>
      <c r="D58" s="4" t="s">
        <v>5</v>
      </c>
      <c r="E58" s="4" t="s">
        <v>6</v>
      </c>
      <c r="F58" s="4" t="s">
        <v>7</v>
      </c>
      <c r="G58" s="4" t="s">
        <v>8</v>
      </c>
      <c r="H58" s="4" t="s">
        <v>9</v>
      </c>
      <c r="I58" s="4" t="s">
        <v>10</v>
      </c>
      <c r="J58" s="4" t="s">
        <v>11</v>
      </c>
      <c r="K58" s="4" t="s">
        <v>12</v>
      </c>
      <c r="L58" s="5" t="s">
        <v>13</v>
      </c>
      <c r="M58" s="104"/>
      <c r="O58" s="3" t="s">
        <v>2</v>
      </c>
      <c r="P58" s="664" t="s">
        <v>14</v>
      </c>
      <c r="Q58" s="665"/>
      <c r="R58" s="665"/>
      <c r="S58" s="665"/>
      <c r="T58" s="666"/>
    </row>
    <row r="59" spans="1:20">
      <c r="A59" s="7"/>
      <c r="B59" s="8" t="s">
        <v>17</v>
      </c>
      <c r="C59" s="8" t="s">
        <v>18</v>
      </c>
      <c r="D59" s="8" t="s">
        <v>18</v>
      </c>
      <c r="E59" s="8" t="s">
        <v>19</v>
      </c>
      <c r="F59" s="8" t="s">
        <v>18</v>
      </c>
      <c r="G59" s="8" t="s">
        <v>18</v>
      </c>
      <c r="H59" s="8" t="s">
        <v>18</v>
      </c>
      <c r="I59" s="8" t="s">
        <v>17</v>
      </c>
      <c r="J59" s="8" t="s">
        <v>17</v>
      </c>
      <c r="K59" s="8" t="s">
        <v>17</v>
      </c>
      <c r="L59" s="9" t="s">
        <v>17</v>
      </c>
      <c r="M59" s="104"/>
      <c r="O59" s="7"/>
      <c r="P59" s="10">
        <v>0.6</v>
      </c>
      <c r="Q59" s="10">
        <v>0.7</v>
      </c>
      <c r="R59" s="10">
        <v>0.8</v>
      </c>
      <c r="S59" s="10">
        <v>0.9</v>
      </c>
      <c r="T59" s="10">
        <v>1</v>
      </c>
    </row>
    <row r="60" spans="1:20" ht="45">
      <c r="A60" s="269" t="s">
        <v>1052</v>
      </c>
      <c r="B60" s="260">
        <v>9</v>
      </c>
      <c r="C60" s="261">
        <v>60</v>
      </c>
      <c r="D60" s="261">
        <f t="shared" ref="D60:D66" si="36">C60/2</f>
        <v>30</v>
      </c>
      <c r="E60" s="261">
        <v>2</v>
      </c>
      <c r="F60" s="261">
        <f>80-23.5</f>
        <v>56.5</v>
      </c>
      <c r="G60" s="261">
        <f>160-23.5</f>
        <v>136.5</v>
      </c>
      <c r="H60" s="261">
        <v>8</v>
      </c>
      <c r="I60" s="262">
        <f>(0.52*SQRT(H60)*(F60)^0.9*$B$69^0.8)/1000</f>
        <v>6.4977129829963687</v>
      </c>
      <c r="J60" s="263">
        <f>($J$53*0.52*SQRT(H60)*G60^0.9*$B$69^0.8)/1000</f>
        <v>8.6235792203928199</v>
      </c>
      <c r="K60" s="260">
        <v>20</v>
      </c>
      <c r="L60" s="270">
        <f>E60*MIN(I60,J60,K60)</f>
        <v>12.995425965992737</v>
      </c>
      <c r="M60" s="104"/>
      <c r="O60" s="269" t="s">
        <v>772</v>
      </c>
      <c r="P60" s="265">
        <f t="shared" ref="P60:T67" si="37">$E60*MIN($B60/1,$I60*P$6/1.3,$J60*P$6/1.3,$K60/1.25)</f>
        <v>5.9978889073812631</v>
      </c>
      <c r="Q60" s="265">
        <f t="shared" si="37"/>
        <v>6.9975370586114733</v>
      </c>
      <c r="R60" s="265">
        <f t="shared" si="37"/>
        <v>7.9971852098416845</v>
      </c>
      <c r="S60" s="265">
        <f t="shared" si="37"/>
        <v>8.9968333610718947</v>
      </c>
      <c r="T60" s="265">
        <f t="shared" si="37"/>
        <v>9.9964815123021058</v>
      </c>
    </row>
    <row r="61" spans="1:20" ht="45">
      <c r="A61" s="224" t="s">
        <v>1053</v>
      </c>
      <c r="B61" s="212">
        <v>9</v>
      </c>
      <c r="C61" s="57">
        <v>60</v>
      </c>
      <c r="D61" s="57">
        <f t="shared" si="36"/>
        <v>30</v>
      </c>
      <c r="E61" s="261">
        <v>2</v>
      </c>
      <c r="F61" s="261">
        <f t="shared" ref="F61:F63" si="38">80-23.5</f>
        <v>56.5</v>
      </c>
      <c r="G61" s="261">
        <f>240-23.5</f>
        <v>216.5</v>
      </c>
      <c r="H61" s="57">
        <v>8</v>
      </c>
      <c r="I61" s="262">
        <f t="shared" ref="I61:I67" si="39">(0.52*SQRT(H61)*(F61)^0.9*$B$69^0.8)/1000</f>
        <v>6.4977129829963687</v>
      </c>
      <c r="J61" s="263">
        <f t="shared" ref="J61:J67" si="40">($J$53*0.52*SQRT(H61)*G61^0.9*$B$69^0.8)/1000</f>
        <v>13.061115854434522</v>
      </c>
      <c r="K61" s="260">
        <v>20</v>
      </c>
      <c r="L61" s="270">
        <f t="shared" ref="L61:L67" si="41">E61*MIN(I61,J61,K61)</f>
        <v>12.995425965992737</v>
      </c>
      <c r="M61" s="104"/>
      <c r="O61" s="224" t="s">
        <v>773</v>
      </c>
      <c r="P61" s="215">
        <f t="shared" si="37"/>
        <v>5.9978889073812631</v>
      </c>
      <c r="Q61" s="215">
        <f t="shared" si="37"/>
        <v>6.9975370586114733</v>
      </c>
      <c r="R61" s="215">
        <f t="shared" si="37"/>
        <v>7.9971852098416845</v>
      </c>
      <c r="S61" s="215">
        <f t="shared" si="37"/>
        <v>8.9968333610718947</v>
      </c>
      <c r="T61" s="215">
        <f t="shared" si="37"/>
        <v>9.9964815123021058</v>
      </c>
    </row>
    <row r="62" spans="1:20" ht="45">
      <c r="A62" s="224" t="s">
        <v>1054</v>
      </c>
      <c r="B62" s="212">
        <v>9</v>
      </c>
      <c r="C62" s="57">
        <v>120</v>
      </c>
      <c r="D62" s="57">
        <f t="shared" si="36"/>
        <v>60</v>
      </c>
      <c r="E62" s="261">
        <v>2</v>
      </c>
      <c r="F62" s="261">
        <f t="shared" si="38"/>
        <v>56.5</v>
      </c>
      <c r="G62" s="261">
        <f>160-23.5</f>
        <v>136.5</v>
      </c>
      <c r="H62" s="57">
        <v>8</v>
      </c>
      <c r="I62" s="262">
        <f t="shared" si="39"/>
        <v>6.4977129829963687</v>
      </c>
      <c r="J62" s="263">
        <f t="shared" si="40"/>
        <v>8.6235792203928199</v>
      </c>
      <c r="K62" s="260">
        <v>20</v>
      </c>
      <c r="L62" s="270">
        <f t="shared" si="41"/>
        <v>12.995425965992737</v>
      </c>
      <c r="M62" s="104"/>
      <c r="O62" s="224" t="s">
        <v>774</v>
      </c>
      <c r="P62" s="215">
        <f t="shared" si="37"/>
        <v>5.9978889073812631</v>
      </c>
      <c r="Q62" s="215">
        <f t="shared" si="37"/>
        <v>6.9975370586114733</v>
      </c>
      <c r="R62" s="215">
        <f t="shared" si="37"/>
        <v>7.9971852098416845</v>
      </c>
      <c r="S62" s="215">
        <f t="shared" si="37"/>
        <v>8.9968333610718947</v>
      </c>
      <c r="T62" s="215">
        <f t="shared" si="37"/>
        <v>9.9964815123021058</v>
      </c>
    </row>
    <row r="63" spans="1:20" ht="45.75" thickBot="1">
      <c r="A63" s="421" t="s">
        <v>1055</v>
      </c>
      <c r="B63" s="286">
        <v>9</v>
      </c>
      <c r="C63" s="287">
        <v>120</v>
      </c>
      <c r="D63" s="287">
        <f t="shared" si="36"/>
        <v>60</v>
      </c>
      <c r="E63" s="287">
        <v>2</v>
      </c>
      <c r="F63" s="287">
        <f t="shared" si="38"/>
        <v>56.5</v>
      </c>
      <c r="G63" s="287">
        <f>240-23.5</f>
        <v>216.5</v>
      </c>
      <c r="H63" s="287">
        <v>8</v>
      </c>
      <c r="I63" s="288">
        <f t="shared" si="39"/>
        <v>6.4977129829963687</v>
      </c>
      <c r="J63" s="289">
        <f t="shared" si="40"/>
        <v>13.061115854434522</v>
      </c>
      <c r="K63" s="286">
        <v>20</v>
      </c>
      <c r="L63" s="583">
        <f t="shared" si="41"/>
        <v>12.995425965992737</v>
      </c>
      <c r="M63" s="104"/>
      <c r="O63" s="224" t="s">
        <v>775</v>
      </c>
      <c r="P63" s="215">
        <f t="shared" si="37"/>
        <v>5.9978889073812631</v>
      </c>
      <c r="Q63" s="215">
        <f t="shared" si="37"/>
        <v>6.9975370586114733</v>
      </c>
      <c r="R63" s="215">
        <f t="shared" si="37"/>
        <v>7.9971852098416845</v>
      </c>
      <c r="S63" s="215">
        <f t="shared" si="37"/>
        <v>8.9968333610718947</v>
      </c>
      <c r="T63" s="215">
        <f t="shared" si="37"/>
        <v>9.9964815123021058</v>
      </c>
    </row>
    <row r="64" spans="1:20" ht="45.75" thickTop="1">
      <c r="A64" s="269" t="s">
        <v>1056</v>
      </c>
      <c r="B64" s="260">
        <v>9</v>
      </c>
      <c r="C64" s="261">
        <v>120</v>
      </c>
      <c r="D64" s="261">
        <f t="shared" si="36"/>
        <v>60</v>
      </c>
      <c r="E64" s="261">
        <v>2</v>
      </c>
      <c r="F64" s="261">
        <f>100-25</f>
        <v>75</v>
      </c>
      <c r="G64" s="261">
        <f>200-25</f>
        <v>175</v>
      </c>
      <c r="H64" s="261">
        <v>10</v>
      </c>
      <c r="I64" s="262">
        <f t="shared" si="39"/>
        <v>9.3740456535592109</v>
      </c>
      <c r="J64" s="263">
        <f t="shared" si="40"/>
        <v>12.057504188084518</v>
      </c>
      <c r="K64" s="260">
        <v>32</v>
      </c>
      <c r="L64" s="270">
        <f t="shared" si="41"/>
        <v>18.748091307118422</v>
      </c>
      <c r="M64" s="104"/>
      <c r="O64" s="224" t="s">
        <v>730</v>
      </c>
      <c r="P64" s="215">
        <f t="shared" si="37"/>
        <v>8.6529652186700403</v>
      </c>
      <c r="Q64" s="215">
        <f t="shared" si="37"/>
        <v>10.09512608844838</v>
      </c>
      <c r="R64" s="215">
        <f t="shared" si="37"/>
        <v>11.537286958226721</v>
      </c>
      <c r="S64" s="215">
        <f t="shared" si="37"/>
        <v>12.97944782800506</v>
      </c>
      <c r="T64" s="215">
        <f t="shared" si="37"/>
        <v>14.421608697783402</v>
      </c>
    </row>
    <row r="65" spans="1:32" ht="45">
      <c r="A65" s="224" t="s">
        <v>1057</v>
      </c>
      <c r="B65" s="260">
        <v>9</v>
      </c>
      <c r="C65" s="261">
        <v>120</v>
      </c>
      <c r="D65" s="261">
        <f t="shared" ref="D65" si="42">C65/2</f>
        <v>60</v>
      </c>
      <c r="E65" s="261">
        <v>2</v>
      </c>
      <c r="F65" s="261">
        <f t="shared" ref="F65:F67" si="43">100-25</f>
        <v>75</v>
      </c>
      <c r="G65" s="261">
        <f>300-25</f>
        <v>275</v>
      </c>
      <c r="H65" s="261">
        <v>11</v>
      </c>
      <c r="I65" s="262">
        <f t="shared" si="39"/>
        <v>9.8315820246038506</v>
      </c>
      <c r="J65" s="263">
        <f t="shared" si="40"/>
        <v>18.994109818948679</v>
      </c>
      <c r="K65" s="260">
        <v>32</v>
      </c>
      <c r="L65" s="270">
        <f t="shared" si="41"/>
        <v>19.663164049207701</v>
      </c>
      <c r="M65" s="104"/>
      <c r="O65" s="224" t="s">
        <v>776</v>
      </c>
      <c r="P65" s="215">
        <f t="shared" si="37"/>
        <v>9.0753064842497082</v>
      </c>
      <c r="Q65" s="215">
        <f t="shared" si="37"/>
        <v>10.587857564957991</v>
      </c>
      <c r="R65" s="215">
        <f t="shared" si="37"/>
        <v>12.100408645666278</v>
      </c>
      <c r="S65" s="215">
        <f t="shared" si="37"/>
        <v>13.612959726374564</v>
      </c>
      <c r="T65" s="215">
        <f t="shared" si="37"/>
        <v>15.125510807082847</v>
      </c>
    </row>
    <row r="66" spans="1:32" ht="30.75" customHeight="1">
      <c r="A66" s="224" t="s">
        <v>1058</v>
      </c>
      <c r="B66" s="260">
        <v>9</v>
      </c>
      <c r="C66" s="261">
        <v>210</v>
      </c>
      <c r="D66" s="261">
        <f t="shared" si="36"/>
        <v>105</v>
      </c>
      <c r="E66" s="261">
        <v>2</v>
      </c>
      <c r="F66" s="261">
        <f t="shared" si="43"/>
        <v>75</v>
      </c>
      <c r="G66" s="261">
        <f>200-25</f>
        <v>175</v>
      </c>
      <c r="H66" s="261">
        <v>10</v>
      </c>
      <c r="I66" s="262">
        <f t="shared" si="39"/>
        <v>9.3740456535592109</v>
      </c>
      <c r="J66" s="263">
        <f>($J$53*0.52*SQRT(H66)*G66^0.9*$B$69^0.8)/1000</f>
        <v>12.057504188084518</v>
      </c>
      <c r="K66" s="260">
        <v>32</v>
      </c>
      <c r="L66" s="270">
        <f t="shared" si="41"/>
        <v>18.748091307118422</v>
      </c>
      <c r="M66" s="104"/>
      <c r="O66" s="224" t="s">
        <v>731</v>
      </c>
      <c r="P66" s="215">
        <f t="shared" si="37"/>
        <v>8.6529652186700403</v>
      </c>
      <c r="Q66" s="215">
        <f t="shared" si="37"/>
        <v>10.09512608844838</v>
      </c>
      <c r="R66" s="215">
        <f t="shared" si="37"/>
        <v>11.537286958226721</v>
      </c>
      <c r="S66" s="215">
        <f t="shared" si="37"/>
        <v>12.97944782800506</v>
      </c>
      <c r="T66" s="215">
        <f t="shared" si="37"/>
        <v>14.421608697783402</v>
      </c>
    </row>
    <row r="67" spans="1:32" ht="45">
      <c r="A67" s="224" t="s">
        <v>1059</v>
      </c>
      <c r="B67" s="260">
        <v>9</v>
      </c>
      <c r="C67" s="261">
        <v>210</v>
      </c>
      <c r="D67" s="261">
        <f t="shared" ref="D67" si="44">C67/2</f>
        <v>105</v>
      </c>
      <c r="E67" s="261">
        <v>2</v>
      </c>
      <c r="F67" s="261">
        <f t="shared" si="43"/>
        <v>75</v>
      </c>
      <c r="G67" s="261">
        <f>300-25</f>
        <v>275</v>
      </c>
      <c r="H67" s="261">
        <v>11</v>
      </c>
      <c r="I67" s="262">
        <f t="shared" si="39"/>
        <v>9.8315820246038506</v>
      </c>
      <c r="J67" s="263">
        <f t="shared" si="40"/>
        <v>18.994109818948679</v>
      </c>
      <c r="K67" s="260">
        <v>32</v>
      </c>
      <c r="L67" s="270">
        <f t="shared" si="41"/>
        <v>19.663164049207701</v>
      </c>
      <c r="M67" s="104"/>
      <c r="O67" s="224" t="s">
        <v>777</v>
      </c>
      <c r="P67" s="215">
        <f t="shared" si="37"/>
        <v>9.0753064842497082</v>
      </c>
      <c r="Q67" s="215">
        <f t="shared" si="37"/>
        <v>10.587857564957991</v>
      </c>
      <c r="R67" s="215">
        <f t="shared" si="37"/>
        <v>12.100408645666278</v>
      </c>
      <c r="S67" s="215">
        <f t="shared" si="37"/>
        <v>13.612959726374564</v>
      </c>
      <c r="T67" s="215">
        <f t="shared" si="37"/>
        <v>15.125510807082847</v>
      </c>
    </row>
    <row r="68" spans="1:32">
      <c r="A68" s="19" t="s">
        <v>35</v>
      </c>
      <c r="B68" t="str">
        <f>'RICON-S'!E40</f>
        <v>GL24h</v>
      </c>
      <c r="I68" s="242" t="s">
        <v>294</v>
      </c>
      <c r="J68" s="20">
        <v>0.6</v>
      </c>
      <c r="M68" s="104"/>
      <c r="O68" s="68"/>
      <c r="P68" s="266"/>
      <c r="Q68" s="266"/>
      <c r="R68" s="266"/>
      <c r="S68" s="266"/>
      <c r="T68" s="266"/>
    </row>
    <row r="69" spans="1:32" ht="18">
      <c r="A69" s="21" t="s">
        <v>37</v>
      </c>
      <c r="B69">
        <f>VLOOKUP(B68,$V$7:$W$18,2,FALSE)</f>
        <v>385</v>
      </c>
      <c r="C69" t="s">
        <v>38</v>
      </c>
      <c r="M69" s="104"/>
      <c r="O69" s="68"/>
      <c r="P69" s="266"/>
      <c r="Q69" s="266"/>
      <c r="R69" s="266"/>
      <c r="S69" s="266"/>
      <c r="T69" s="266"/>
    </row>
    <row r="70" spans="1:32" ht="30.75" customHeight="1">
      <c r="M70" s="104"/>
      <c r="O70" s="68"/>
      <c r="P70" s="266"/>
      <c r="Q70" s="266"/>
      <c r="R70" s="266"/>
      <c r="S70" s="266"/>
      <c r="T70" s="266"/>
    </row>
    <row r="72" spans="1:32" ht="24" thickBot="1">
      <c r="A72" s="1" t="s">
        <v>1254</v>
      </c>
      <c r="V72" s="667" t="s">
        <v>36</v>
      </c>
      <c r="W72" s="667"/>
      <c r="X72" s="667"/>
      <c r="Y72" s="2"/>
      <c r="Z72" s="2"/>
    </row>
    <row r="73" spans="1:32">
      <c r="V73" s="668" t="s">
        <v>39</v>
      </c>
      <c r="W73" s="669"/>
      <c r="X73" s="669"/>
      <c r="Y73" s="669"/>
      <c r="Z73" s="669"/>
      <c r="AA73" s="22"/>
      <c r="AB73" s="669" t="s">
        <v>40</v>
      </c>
      <c r="AC73" s="669"/>
      <c r="AD73" s="669"/>
      <c r="AE73" s="669"/>
      <c r="AF73" s="670"/>
    </row>
    <row r="74" spans="1:32">
      <c r="V74" s="23"/>
      <c r="W74" s="24">
        <v>0.6</v>
      </c>
      <c r="X74" s="24">
        <v>0.7</v>
      </c>
      <c r="Y74" s="24">
        <v>0.8</v>
      </c>
      <c r="Z74" s="24">
        <v>0.9</v>
      </c>
      <c r="AA74" s="25"/>
      <c r="AB74" s="25"/>
      <c r="AC74" s="24">
        <v>0.6</v>
      </c>
      <c r="AD74" s="24">
        <v>0.7</v>
      </c>
      <c r="AE74" s="24">
        <v>0.8</v>
      </c>
      <c r="AF74" s="26">
        <v>0.9</v>
      </c>
    </row>
    <row r="75" spans="1:32" ht="18">
      <c r="A75" s="3" t="s">
        <v>2</v>
      </c>
      <c r="B75" s="4" t="s">
        <v>3</v>
      </c>
      <c r="C75" s="4" t="s">
        <v>41</v>
      </c>
      <c r="D75" s="4" t="s">
        <v>9</v>
      </c>
      <c r="E75" s="4" t="s">
        <v>42</v>
      </c>
      <c r="F75" s="4" t="s">
        <v>43</v>
      </c>
      <c r="G75" s="4" t="s">
        <v>12</v>
      </c>
      <c r="H75" s="4" t="s">
        <v>9</v>
      </c>
      <c r="I75" s="4" t="s">
        <v>44</v>
      </c>
      <c r="J75" s="4" t="s">
        <v>45</v>
      </c>
      <c r="K75" s="5" t="s">
        <v>46</v>
      </c>
      <c r="L75" s="671" t="s">
        <v>47</v>
      </c>
      <c r="O75" s="3" t="s">
        <v>2</v>
      </c>
      <c r="P75" s="664" t="s">
        <v>14</v>
      </c>
      <c r="Q75" s="665"/>
      <c r="R75" s="665"/>
      <c r="S75" s="665"/>
      <c r="T75" s="666"/>
      <c r="V75" s="23">
        <v>350</v>
      </c>
      <c r="W75" s="27">
        <v>2.9938688541772382</v>
      </c>
      <c r="X75" s="27">
        <v>3.4928469965401114</v>
      </c>
      <c r="Y75" s="27">
        <v>3.9918251389029846</v>
      </c>
      <c r="Z75" s="27">
        <v>4.4908032812658574</v>
      </c>
      <c r="AA75" s="25"/>
      <c r="AB75" s="25">
        <v>350</v>
      </c>
      <c r="AC75" s="27">
        <v>3.2659363540411106</v>
      </c>
      <c r="AD75" s="27">
        <v>3.8102590797146281</v>
      </c>
      <c r="AE75" s="27">
        <v>4.3545818053881478</v>
      </c>
      <c r="AF75" s="28">
        <v>4.8989045310616657</v>
      </c>
    </row>
    <row r="76" spans="1:32">
      <c r="A76" s="7"/>
      <c r="B76" s="8" t="s">
        <v>17</v>
      </c>
      <c r="C76" s="8" t="s">
        <v>19</v>
      </c>
      <c r="D76" s="8" t="s">
        <v>18</v>
      </c>
      <c r="E76" s="8" t="s">
        <v>18</v>
      </c>
      <c r="F76" s="8" t="s">
        <v>17</v>
      </c>
      <c r="G76" s="8" t="s">
        <v>17</v>
      </c>
      <c r="H76" s="8" t="s">
        <v>18</v>
      </c>
      <c r="I76" s="8" t="s">
        <v>18</v>
      </c>
      <c r="J76" s="8" t="s">
        <v>17</v>
      </c>
      <c r="K76" s="9" t="s">
        <v>17</v>
      </c>
      <c r="L76" s="671"/>
      <c r="M76" s="29"/>
      <c r="O76" s="7"/>
      <c r="P76" s="10">
        <v>0.6</v>
      </c>
      <c r="Q76" s="10">
        <v>0.7</v>
      </c>
      <c r="R76" s="10">
        <v>0.8</v>
      </c>
      <c r="S76" s="10">
        <v>0.9</v>
      </c>
      <c r="T76" s="10">
        <v>1</v>
      </c>
      <c r="V76" s="23">
        <v>380</v>
      </c>
      <c r="W76" s="27">
        <v>3.197460691061587</v>
      </c>
      <c r="X76" s="27">
        <v>3.7303708062385179</v>
      </c>
      <c r="Y76" s="27">
        <v>4.2632809214154497</v>
      </c>
      <c r="Z76" s="27">
        <v>4.796191036592381</v>
      </c>
      <c r="AA76" s="25"/>
      <c r="AB76" s="25">
        <v>380</v>
      </c>
      <c r="AC76" s="27">
        <v>3.4880295765077078</v>
      </c>
      <c r="AD76" s="27">
        <v>4.0693678392589918</v>
      </c>
      <c r="AE76" s="27">
        <v>4.6507061020102771</v>
      </c>
      <c r="AF76" s="28">
        <v>5.2320443647615615</v>
      </c>
    </row>
    <row r="77" spans="1:32">
      <c r="A77" s="30" t="s">
        <v>48</v>
      </c>
      <c r="B77" s="31">
        <v>9</v>
      </c>
      <c r="C77" s="32">
        <v>2</v>
      </c>
      <c r="D77" s="32">
        <v>6</v>
      </c>
      <c r="E77" s="32">
        <v>45</v>
      </c>
      <c r="F77" s="31">
        <f t="shared" ref="F77:F87" si="45">(0.52*SQRT(D77)*E77^0.9*$B$90^0.8)/1200</f>
        <v>3.5403273542111484</v>
      </c>
      <c r="G77" s="32">
        <v>10.5</v>
      </c>
      <c r="H77" s="32">
        <v>12</v>
      </c>
      <c r="I77" s="32">
        <v>49</v>
      </c>
      <c r="J77" s="31">
        <f t="shared" ref="J77:J87" si="46">(0.52*SQRT(H77)*I77^0.9*$B$90^0.8)/1000</f>
        <v>6.4867158507173501</v>
      </c>
      <c r="K77" s="33">
        <f t="shared" ref="K77:K87" si="47">MIN(C77*F77,C77*G77,J77,C77*B77)</f>
        <v>6.4867158507173501</v>
      </c>
      <c r="L77" s="34"/>
      <c r="M77" s="35"/>
      <c r="O77" s="30" t="s">
        <v>48</v>
      </c>
      <c r="P77" s="12">
        <f t="shared" ref="P77:T82" si="48">MIN($C77*$F77*P$76/1.3,$C77*$G77/1.25,$J77*P$76/1.3,$C77*$B77/1)</f>
        <v>2.9938688541772382</v>
      </c>
      <c r="Q77" s="12">
        <f t="shared" si="48"/>
        <v>3.4928469965401114</v>
      </c>
      <c r="R77" s="12">
        <f t="shared" si="48"/>
        <v>3.9918251389029846</v>
      </c>
      <c r="S77" s="12">
        <f t="shared" si="48"/>
        <v>4.4908032812658574</v>
      </c>
      <c r="T77" s="12">
        <f t="shared" si="48"/>
        <v>4.989781423628731</v>
      </c>
      <c r="V77" s="23">
        <v>410</v>
      </c>
      <c r="W77" s="27">
        <v>3.3978595400497134</v>
      </c>
      <c r="X77" s="27">
        <v>3.9641694633913325</v>
      </c>
      <c r="Y77" s="27">
        <v>4.5304793867329511</v>
      </c>
      <c r="Z77" s="27">
        <v>5.0967893100745707</v>
      </c>
      <c r="AA77" s="25"/>
      <c r="AB77" s="25">
        <v>410</v>
      </c>
      <c r="AC77" s="27">
        <v>3.7066396486573718</v>
      </c>
      <c r="AD77" s="27">
        <v>4.3244129234336004</v>
      </c>
      <c r="AE77" s="27">
        <v>4.9421861982098294</v>
      </c>
      <c r="AF77" s="28">
        <v>5.5599594729860575</v>
      </c>
    </row>
    <row r="78" spans="1:32">
      <c r="A78" s="30" t="s">
        <v>747</v>
      </c>
      <c r="B78" s="31">
        <v>9</v>
      </c>
      <c r="C78" s="32">
        <v>2</v>
      </c>
      <c r="D78" s="32">
        <v>6</v>
      </c>
      <c r="E78" s="32">
        <v>45</v>
      </c>
      <c r="F78" s="31">
        <f t="shared" si="45"/>
        <v>3.5403273542111484</v>
      </c>
      <c r="G78" s="32">
        <v>10.5</v>
      </c>
      <c r="H78" s="102">
        <v>8</v>
      </c>
      <c r="I78" s="102">
        <v>60</v>
      </c>
      <c r="J78" s="31">
        <f t="shared" si="46"/>
        <v>6.3553415865938057</v>
      </c>
      <c r="K78" s="33">
        <f t="shared" si="47"/>
        <v>6.3553415865938057</v>
      </c>
      <c r="L78" s="34"/>
      <c r="M78" s="35"/>
      <c r="O78" s="30"/>
      <c r="P78" s="12"/>
      <c r="Q78" s="12"/>
      <c r="R78" s="12"/>
      <c r="S78" s="12"/>
      <c r="T78" s="12"/>
      <c r="V78" s="23"/>
      <c r="W78" s="27"/>
      <c r="X78" s="27"/>
      <c r="Y78" s="27"/>
      <c r="Z78" s="27"/>
      <c r="AA78" s="25"/>
      <c r="AB78" s="25"/>
      <c r="AC78" s="27"/>
      <c r="AD78" s="27"/>
      <c r="AE78" s="27"/>
      <c r="AF78" s="28"/>
    </row>
    <row r="79" spans="1:32">
      <c r="A79" s="30" t="s">
        <v>748</v>
      </c>
      <c r="B79" s="31">
        <v>9</v>
      </c>
      <c r="C79" s="32">
        <v>2</v>
      </c>
      <c r="D79" s="32">
        <v>6</v>
      </c>
      <c r="E79" s="32">
        <v>45</v>
      </c>
      <c r="F79" s="31">
        <f t="shared" si="45"/>
        <v>3.5403273542111484</v>
      </c>
      <c r="G79" s="32">
        <v>10.5</v>
      </c>
      <c r="H79" s="102">
        <v>30</v>
      </c>
      <c r="I79" s="102">
        <v>35</v>
      </c>
      <c r="J79" s="31">
        <f t="shared" si="46"/>
        <v>7.5766922316952101</v>
      </c>
      <c r="K79" s="33">
        <f t="shared" si="47"/>
        <v>7.0806547084222968</v>
      </c>
      <c r="L79" s="34"/>
      <c r="M79" s="35"/>
      <c r="O79" s="30"/>
      <c r="P79" s="12"/>
      <c r="Q79" s="12"/>
      <c r="R79" s="12"/>
      <c r="S79" s="12"/>
      <c r="T79" s="12"/>
      <c r="V79" s="23"/>
      <c r="W79" s="27"/>
      <c r="X79" s="27"/>
      <c r="Y79" s="27"/>
      <c r="Z79" s="27"/>
      <c r="AA79" s="25"/>
      <c r="AB79" s="25"/>
      <c r="AC79" s="27"/>
      <c r="AD79" s="27"/>
      <c r="AE79" s="27"/>
      <c r="AF79" s="28"/>
    </row>
    <row r="80" spans="1:32">
      <c r="A80" s="30" t="s">
        <v>749</v>
      </c>
      <c r="B80" s="31">
        <v>9</v>
      </c>
      <c r="C80" s="32">
        <v>2</v>
      </c>
      <c r="D80" s="32">
        <v>6</v>
      </c>
      <c r="E80" s="32">
        <v>45</v>
      </c>
      <c r="F80" s="31">
        <f t="shared" si="45"/>
        <v>3.5403273542111484</v>
      </c>
      <c r="G80" s="32">
        <v>10.5</v>
      </c>
      <c r="H80" s="102">
        <v>22</v>
      </c>
      <c r="I80" s="102">
        <v>24.5</v>
      </c>
      <c r="J80" s="31">
        <f t="shared" si="46"/>
        <v>4.7067225176025742</v>
      </c>
      <c r="K80" s="33">
        <f t="shared" ref="K80" si="49">MIN(C80*F80,C80*G80,J80,C80*B80)</f>
        <v>4.7067225176025742</v>
      </c>
      <c r="L80" s="34"/>
      <c r="M80" s="35"/>
      <c r="O80" s="30"/>
      <c r="P80" s="12"/>
      <c r="Q80" s="12"/>
      <c r="R80" s="12"/>
      <c r="S80" s="12"/>
      <c r="T80" s="12"/>
      <c r="V80" s="23"/>
      <c r="W80" s="27"/>
      <c r="X80" s="27"/>
      <c r="Y80" s="27"/>
      <c r="Z80" s="27"/>
      <c r="AA80" s="25"/>
      <c r="AB80" s="25"/>
      <c r="AC80" s="27"/>
      <c r="AD80" s="27"/>
      <c r="AE80" s="27"/>
      <c r="AF80" s="28"/>
    </row>
    <row r="81" spans="1:32" ht="15.75" thickBot="1">
      <c r="A81" s="36" t="s">
        <v>49</v>
      </c>
      <c r="B81" s="37">
        <v>9</v>
      </c>
      <c r="C81" s="38">
        <v>2</v>
      </c>
      <c r="D81" s="38">
        <v>6</v>
      </c>
      <c r="E81" s="38">
        <v>45</v>
      </c>
      <c r="F81" s="37">
        <f t="shared" si="45"/>
        <v>3.5403273542111484</v>
      </c>
      <c r="G81" s="38">
        <v>10.5</v>
      </c>
      <c r="H81" s="38">
        <v>12</v>
      </c>
      <c r="I81" s="38">
        <v>45</v>
      </c>
      <c r="J81" s="37">
        <f t="shared" si="46"/>
        <v>6.0081347514790338</v>
      </c>
      <c r="K81" s="39">
        <f t="shared" si="47"/>
        <v>6.0081347514790338</v>
      </c>
      <c r="L81" s="40">
        <f>K81/K77</f>
        <v>0.92622135603713995</v>
      </c>
      <c r="M81" s="35"/>
      <c r="O81" s="41"/>
      <c r="P81" s="12"/>
      <c r="Q81" s="12"/>
      <c r="R81" s="12"/>
      <c r="S81" s="12"/>
      <c r="T81" s="12"/>
      <c r="V81" s="23">
        <v>430</v>
      </c>
      <c r="W81" s="27">
        <v>3.5298244030214643</v>
      </c>
      <c r="X81" s="27">
        <v>4.1181284701917082</v>
      </c>
      <c r="Y81" s="27">
        <v>4.7064325373619527</v>
      </c>
      <c r="Z81" s="27">
        <v>5.2947366045321962</v>
      </c>
      <c r="AA81" s="25"/>
      <c r="AB81" s="25">
        <v>430</v>
      </c>
      <c r="AC81" s="27">
        <v>3.8505968039062237</v>
      </c>
      <c r="AD81" s="27">
        <v>4.4923629378905945</v>
      </c>
      <c r="AE81" s="27">
        <v>5.1341290718749653</v>
      </c>
      <c r="AF81" s="28">
        <v>5.7758952058593351</v>
      </c>
    </row>
    <row r="82" spans="1:32">
      <c r="A82" s="42" t="s">
        <v>50</v>
      </c>
      <c r="B82" s="43">
        <v>9</v>
      </c>
      <c r="C82" s="44">
        <v>2</v>
      </c>
      <c r="D82" s="44">
        <v>10</v>
      </c>
      <c r="E82" s="44">
        <v>50</v>
      </c>
      <c r="F82" s="43">
        <f t="shared" si="45"/>
        <v>5.0251558670694791</v>
      </c>
      <c r="G82" s="44">
        <v>28</v>
      </c>
      <c r="H82" s="44">
        <v>16</v>
      </c>
      <c r="I82" s="44">
        <v>46</v>
      </c>
      <c r="J82" s="43">
        <f t="shared" si="46"/>
        <v>7.0761954337557391</v>
      </c>
      <c r="K82" s="45">
        <f t="shared" si="47"/>
        <v>7.0761954337557391</v>
      </c>
      <c r="L82" s="46"/>
      <c r="M82" s="35"/>
      <c r="O82" s="42" t="s">
        <v>50</v>
      </c>
      <c r="P82" s="12">
        <f t="shared" si="48"/>
        <v>3.2659363540411106</v>
      </c>
      <c r="Q82" s="12">
        <f t="shared" si="48"/>
        <v>3.8102590797146281</v>
      </c>
      <c r="R82" s="12">
        <f t="shared" si="48"/>
        <v>4.3545818053881478</v>
      </c>
      <c r="S82" s="12">
        <f t="shared" si="48"/>
        <v>4.8989045310616657</v>
      </c>
      <c r="T82" s="12">
        <f t="shared" si="48"/>
        <v>5.4432272567351836</v>
      </c>
      <c r="V82" s="23">
        <v>450</v>
      </c>
      <c r="W82" s="27">
        <v>3.6605668950708412</v>
      </c>
      <c r="X82" s="27">
        <v>4.2706613775826483</v>
      </c>
      <c r="Y82" s="27">
        <v>4.8807558600944558</v>
      </c>
      <c r="Z82" s="27">
        <v>5.4908503426062625</v>
      </c>
      <c r="AA82" s="25"/>
      <c r="AB82" s="25">
        <v>450</v>
      </c>
      <c r="AC82" s="27">
        <v>3.9932205054107892</v>
      </c>
      <c r="AD82" s="27">
        <v>4.6587572563125876</v>
      </c>
      <c r="AE82" s="27">
        <v>5.3242940072143865</v>
      </c>
      <c r="AF82" s="28">
        <v>5.9898307581161854</v>
      </c>
    </row>
    <row r="83" spans="1:32">
      <c r="A83" s="30" t="s">
        <v>51</v>
      </c>
      <c r="B83" s="31">
        <v>9</v>
      </c>
      <c r="C83" s="32">
        <v>2</v>
      </c>
      <c r="D83" s="32">
        <v>10</v>
      </c>
      <c r="E83" s="32">
        <v>45</v>
      </c>
      <c r="F83" s="31">
        <f t="shared" si="45"/>
        <v>4.5705429609941151</v>
      </c>
      <c r="G83" s="32">
        <v>28</v>
      </c>
      <c r="H83" s="32">
        <v>16</v>
      </c>
      <c r="I83" s="32">
        <v>45</v>
      </c>
      <c r="J83" s="31">
        <f t="shared" si="46"/>
        <v>6.9375964321879318</v>
      </c>
      <c r="K83" s="33">
        <f t="shared" si="47"/>
        <v>6.9375964321879318</v>
      </c>
      <c r="L83" s="47">
        <f>K83/K82</f>
        <v>0.98041334459098661</v>
      </c>
      <c r="M83" s="35"/>
      <c r="P83" s="18"/>
      <c r="Q83" s="18"/>
      <c r="R83" s="18"/>
      <c r="S83" s="18"/>
      <c r="V83" s="23">
        <v>400</v>
      </c>
      <c r="W83" s="27">
        <v>3.3313965360014084</v>
      </c>
      <c r="X83" s="27">
        <v>3.886629292001643</v>
      </c>
      <c r="Y83" s="27">
        <v>4.4418620480018784</v>
      </c>
      <c r="Z83" s="27">
        <v>4.9970948040021135</v>
      </c>
      <c r="AA83" s="25"/>
      <c r="AB83" s="25">
        <v>400</v>
      </c>
      <c r="AC83" s="27">
        <v>3.6341368264922393</v>
      </c>
      <c r="AD83" s="27">
        <v>4.2398262975742789</v>
      </c>
      <c r="AE83" s="27">
        <v>4.8455157686563188</v>
      </c>
      <c r="AF83" s="28">
        <v>5.4512052397383588</v>
      </c>
    </row>
    <row r="84" spans="1:32">
      <c r="A84" s="30" t="s">
        <v>52</v>
      </c>
      <c r="B84" s="31">
        <v>9</v>
      </c>
      <c r="C84" s="32">
        <v>2</v>
      </c>
      <c r="D84" s="32">
        <v>10</v>
      </c>
      <c r="E84" s="32">
        <v>50</v>
      </c>
      <c r="F84" s="31">
        <f t="shared" si="45"/>
        <v>5.0251558670694791</v>
      </c>
      <c r="G84" s="32">
        <v>28</v>
      </c>
      <c r="H84" s="32">
        <v>36</v>
      </c>
      <c r="I84" s="32">
        <v>45</v>
      </c>
      <c r="J84" s="31">
        <f t="shared" si="46"/>
        <v>10.406394648281898</v>
      </c>
      <c r="K84" s="33">
        <f t="shared" ref="K84" si="50">MIN(C84*F84,C84*G84,J84,C84*B84)</f>
        <v>10.050311734138958</v>
      </c>
      <c r="L84" s="47">
        <f>K84/K81</f>
        <v>1.6727840086584034</v>
      </c>
      <c r="M84" s="35"/>
      <c r="P84" s="18"/>
      <c r="Q84" s="18"/>
      <c r="R84" s="18"/>
      <c r="S84" s="18"/>
      <c r="V84" s="23"/>
      <c r="W84" s="27"/>
      <c r="X84" s="27"/>
      <c r="Y84" s="27"/>
      <c r="Z84" s="27"/>
      <c r="AA84" s="25"/>
      <c r="AB84" s="25"/>
      <c r="AC84" s="27"/>
      <c r="AD84" s="27"/>
      <c r="AE84" s="27"/>
      <c r="AF84" s="28"/>
    </row>
    <row r="85" spans="1:32">
      <c r="A85" s="30" t="s">
        <v>52</v>
      </c>
      <c r="B85" s="31">
        <v>9</v>
      </c>
      <c r="C85" s="32">
        <v>2</v>
      </c>
      <c r="D85" s="32">
        <v>10</v>
      </c>
      <c r="E85" s="32">
        <v>50</v>
      </c>
      <c r="F85" s="31">
        <f t="shared" si="45"/>
        <v>5.0251558670694791</v>
      </c>
      <c r="G85" s="32">
        <v>28</v>
      </c>
      <c r="H85" s="32">
        <v>10</v>
      </c>
      <c r="I85" s="32">
        <v>60</v>
      </c>
      <c r="J85" s="31">
        <f t="shared" si="46"/>
        <v>7.1054879039275578</v>
      </c>
      <c r="K85" s="33">
        <f t="shared" si="47"/>
        <v>7.1054879039275578</v>
      </c>
      <c r="L85" s="47">
        <f>K85/K82</f>
        <v>1.0041395790218122</v>
      </c>
      <c r="M85" s="35"/>
      <c r="P85" s="18"/>
      <c r="Q85" s="18"/>
      <c r="R85" s="18"/>
      <c r="S85" s="18"/>
      <c r="V85" s="23"/>
      <c r="W85" s="24"/>
      <c r="X85" s="24"/>
      <c r="Y85" s="24"/>
      <c r="Z85" s="24"/>
      <c r="AA85" s="25"/>
      <c r="AB85" s="25"/>
      <c r="AC85" s="25"/>
      <c r="AD85" s="25"/>
      <c r="AE85" s="25"/>
      <c r="AF85" s="48"/>
    </row>
    <row r="86" spans="1:32">
      <c r="A86" s="30" t="s">
        <v>750</v>
      </c>
      <c r="B86" s="31">
        <v>9</v>
      </c>
      <c r="C86" s="32">
        <v>2</v>
      </c>
      <c r="D86" s="32">
        <v>10</v>
      </c>
      <c r="E86" s="32">
        <v>50</v>
      </c>
      <c r="F86" s="31">
        <f t="shared" si="45"/>
        <v>5.0251558670694791</v>
      </c>
      <c r="G86" s="32">
        <v>28</v>
      </c>
      <c r="H86" s="32">
        <v>25</v>
      </c>
      <c r="I86" s="32">
        <v>30</v>
      </c>
      <c r="J86" s="31">
        <f t="shared" si="46"/>
        <v>6.020560330395444</v>
      </c>
      <c r="K86" s="33">
        <f t="shared" ref="K86" si="51">MIN(C86*F86,C86*G86,J86,C86*B86)</f>
        <v>6.020560330395444</v>
      </c>
      <c r="L86" s="47"/>
      <c r="M86" s="35"/>
      <c r="P86" s="18"/>
      <c r="Q86" s="18"/>
      <c r="R86" s="18"/>
      <c r="S86" s="18"/>
      <c r="V86" s="23"/>
      <c r="W86" s="24"/>
      <c r="X86" s="24"/>
      <c r="Y86" s="24"/>
      <c r="Z86" s="24"/>
      <c r="AA86" s="25"/>
      <c r="AB86" s="25"/>
      <c r="AC86" s="25"/>
      <c r="AD86" s="25"/>
      <c r="AE86" s="25"/>
      <c r="AF86" s="48"/>
    </row>
    <row r="87" spans="1:32">
      <c r="A87" s="42" t="s">
        <v>50</v>
      </c>
      <c r="B87" s="43">
        <v>9</v>
      </c>
      <c r="C87" s="44">
        <v>2</v>
      </c>
      <c r="D87" s="44">
        <v>6</v>
      </c>
      <c r="E87" s="44">
        <v>45</v>
      </c>
      <c r="F87" s="43">
        <f t="shared" si="45"/>
        <v>3.5403273542111484</v>
      </c>
      <c r="G87" s="44">
        <v>28</v>
      </c>
      <c r="H87" s="44">
        <v>16</v>
      </c>
      <c r="I87" s="44">
        <v>46</v>
      </c>
      <c r="J87" s="43">
        <f t="shared" si="46"/>
        <v>7.0761954337557391</v>
      </c>
      <c r="K87" s="45">
        <f t="shared" si="47"/>
        <v>7.0761954337557391</v>
      </c>
      <c r="L87" s="49"/>
      <c r="V87" s="672" t="s">
        <v>53</v>
      </c>
      <c r="W87" s="673"/>
      <c r="X87" s="673"/>
      <c r="Y87" s="673"/>
      <c r="Z87" s="673"/>
      <c r="AA87" s="25"/>
      <c r="AB87" s="673" t="s">
        <v>54</v>
      </c>
      <c r="AC87" s="673"/>
      <c r="AD87" s="673"/>
      <c r="AE87" s="673"/>
      <c r="AF87" s="674"/>
    </row>
    <row r="88" spans="1:32">
      <c r="V88" s="23"/>
      <c r="W88" s="24">
        <v>0.6</v>
      </c>
      <c r="X88" s="24">
        <v>0.7</v>
      </c>
      <c r="Y88" s="24">
        <v>0.8</v>
      </c>
      <c r="Z88" s="24">
        <v>0.9</v>
      </c>
      <c r="AA88" s="25"/>
      <c r="AB88" s="25"/>
      <c r="AC88" s="24">
        <v>0.6</v>
      </c>
      <c r="AD88" s="24">
        <v>0.7</v>
      </c>
      <c r="AE88" s="24">
        <v>0.8</v>
      </c>
      <c r="AF88" s="26">
        <v>0.9</v>
      </c>
    </row>
    <row r="89" spans="1:32">
      <c r="A89" s="19" t="s">
        <v>35</v>
      </c>
      <c r="B89" s="20" t="s">
        <v>22</v>
      </c>
      <c r="V89" s="23">
        <v>350</v>
      </c>
      <c r="W89" s="27">
        <v>2.9938688541772382</v>
      </c>
      <c r="X89" s="27">
        <v>3.4928469965401114</v>
      </c>
      <c r="Y89" s="27">
        <v>3.9918251389029846</v>
      </c>
      <c r="Z89" s="27">
        <v>4.4908032812658574</v>
      </c>
      <c r="AA89" s="25"/>
      <c r="AB89" s="25">
        <v>350</v>
      </c>
      <c r="AC89" s="27">
        <v>3.2659363540411106</v>
      </c>
      <c r="AD89" s="27">
        <v>3.8102590797146281</v>
      </c>
      <c r="AE89" s="27">
        <v>4.3545818053881478</v>
      </c>
      <c r="AF89" s="28">
        <v>4.8989045310616657</v>
      </c>
    </row>
    <row r="90" spans="1:32" ht="18">
      <c r="A90" s="21" t="s">
        <v>37</v>
      </c>
      <c r="B90">
        <f>VLOOKUP(B89,$V$7:$W$18,2,FALSE)</f>
        <v>350</v>
      </c>
      <c r="C90" t="s">
        <v>38</v>
      </c>
      <c r="V90" s="23">
        <v>380</v>
      </c>
      <c r="W90" s="27">
        <v>3.197460691061587</v>
      </c>
      <c r="X90" s="27">
        <v>3.7303708062385179</v>
      </c>
      <c r="Y90" s="27">
        <v>4.2632809214154497</v>
      </c>
      <c r="Z90" s="27">
        <v>4.796191036592381</v>
      </c>
      <c r="AA90" s="25"/>
      <c r="AB90" s="25">
        <v>380</v>
      </c>
      <c r="AC90" s="27">
        <v>3.4880295765077078</v>
      </c>
      <c r="AD90" s="27">
        <v>4.0693678392589918</v>
      </c>
      <c r="AE90" s="27">
        <v>4.6507061020102771</v>
      </c>
      <c r="AF90" s="28">
        <v>5.2320443647615615</v>
      </c>
    </row>
    <row r="91" spans="1:32">
      <c r="V91" s="23">
        <v>410</v>
      </c>
      <c r="W91" s="27">
        <v>3.3978595400497134</v>
      </c>
      <c r="X91" s="27">
        <v>3.9641694633913325</v>
      </c>
      <c r="Y91" s="27">
        <v>4.5304793867329511</v>
      </c>
      <c r="Z91" s="27">
        <v>5.0967893100745707</v>
      </c>
      <c r="AA91" s="25"/>
      <c r="AB91" s="25">
        <v>410</v>
      </c>
      <c r="AC91" s="27">
        <v>3.7066396486573718</v>
      </c>
      <c r="AD91" s="27">
        <v>4.3244129234336004</v>
      </c>
      <c r="AE91" s="27">
        <v>4.9421861982098294</v>
      </c>
      <c r="AF91" s="28">
        <v>5.5599594729860575</v>
      </c>
    </row>
    <row r="92" spans="1:32" ht="26.25">
      <c r="A92" s="1" t="s">
        <v>55</v>
      </c>
      <c r="V92" s="23">
        <v>430</v>
      </c>
      <c r="W92" s="27">
        <v>3.5298244030214643</v>
      </c>
      <c r="X92" s="27">
        <v>4.1181284701917082</v>
      </c>
      <c r="Y92" s="27">
        <v>4.7064325373619527</v>
      </c>
      <c r="Z92" s="27">
        <v>5.2947366045321962</v>
      </c>
      <c r="AA92" s="25"/>
      <c r="AB92" s="25">
        <v>430</v>
      </c>
      <c r="AC92" s="27">
        <v>3.8505968039062237</v>
      </c>
      <c r="AD92" s="27">
        <v>4.4923629378905945</v>
      </c>
      <c r="AE92" s="27">
        <v>5.1341290718749653</v>
      </c>
      <c r="AF92" s="28">
        <v>5.7758952058593351</v>
      </c>
    </row>
    <row r="93" spans="1:32" ht="23.25">
      <c r="A93" s="1"/>
      <c r="V93" s="23">
        <v>450</v>
      </c>
      <c r="W93" s="27">
        <v>3.6605668950708412</v>
      </c>
      <c r="X93" s="27">
        <v>4.2706613775826483</v>
      </c>
      <c r="Y93" s="27">
        <v>4.8807558600944558</v>
      </c>
      <c r="Z93" s="27">
        <v>5.4908503426062625</v>
      </c>
      <c r="AA93" s="25"/>
      <c r="AB93" s="25">
        <v>450</v>
      </c>
      <c r="AC93" s="27">
        <v>3.9932205054107892</v>
      </c>
      <c r="AD93" s="27">
        <v>4.6587572563125876</v>
      </c>
      <c r="AE93" s="27">
        <v>5.3242940072143865</v>
      </c>
      <c r="AF93" s="28">
        <v>5.9898307581161854</v>
      </c>
    </row>
    <row r="94" spans="1:32" ht="19.5" thickBot="1">
      <c r="A94" s="50" t="s">
        <v>1255</v>
      </c>
      <c r="V94" s="51">
        <v>400</v>
      </c>
      <c r="W94" s="52">
        <v>3.3313965360014084</v>
      </c>
      <c r="X94" s="52">
        <v>3.886629292001643</v>
      </c>
      <c r="Y94" s="52">
        <v>4.4418620480018784</v>
      </c>
      <c r="Z94" s="52">
        <v>4.9970948040021135</v>
      </c>
      <c r="AA94" s="53"/>
      <c r="AB94" s="53">
        <v>400</v>
      </c>
      <c r="AC94" s="52">
        <v>3.6341368264922393</v>
      </c>
      <c r="AD94" s="52">
        <v>4.2398262975742789</v>
      </c>
      <c r="AE94" s="52">
        <v>4.8455157686563188</v>
      </c>
      <c r="AF94" s="54">
        <v>5.4512052397383588</v>
      </c>
    </row>
    <row r="95" spans="1:32">
      <c r="AA95" s="55"/>
      <c r="AB95" s="55"/>
      <c r="AC95" s="55"/>
      <c r="AD95" s="55"/>
    </row>
    <row r="96" spans="1:32">
      <c r="A96" s="19" t="s">
        <v>35</v>
      </c>
      <c r="B96" t="str">
        <f>GIGANT!E5</f>
        <v>GL24h</v>
      </c>
      <c r="AA96" s="55"/>
      <c r="AB96" s="55"/>
      <c r="AC96" s="55"/>
      <c r="AD96" s="55"/>
    </row>
    <row r="97" spans="1:30" ht="18">
      <c r="A97" s="21" t="s">
        <v>37</v>
      </c>
      <c r="B97">
        <f>VLOOKUP(B96,V7:W18,2,FALSE)</f>
        <v>385</v>
      </c>
      <c r="C97" t="s">
        <v>38</v>
      </c>
      <c r="AA97" s="55"/>
      <c r="AB97" s="55"/>
      <c r="AC97" s="55"/>
      <c r="AD97" s="55"/>
    </row>
    <row r="98" spans="1:30" ht="18">
      <c r="A98" s="21" t="s">
        <v>59</v>
      </c>
      <c r="B98">
        <v>23900</v>
      </c>
      <c r="C98" t="s">
        <v>60</v>
      </c>
      <c r="AA98" s="55"/>
      <c r="AB98" s="55"/>
      <c r="AC98" s="55"/>
      <c r="AD98" s="55"/>
    </row>
    <row r="99" spans="1:30">
      <c r="A99" s="21" t="s">
        <v>61</v>
      </c>
      <c r="B99">
        <v>10</v>
      </c>
      <c r="C99" t="s">
        <v>62</v>
      </c>
      <c r="AA99" s="55"/>
      <c r="AB99" s="55"/>
      <c r="AC99" s="55"/>
      <c r="AD99" s="55"/>
    </row>
    <row r="100" spans="1:30" ht="18">
      <c r="A100" s="21" t="s">
        <v>63</v>
      </c>
      <c r="B100" s="69">
        <f>0.033*B97*B99^-0.3</f>
        <v>6.3675838032344938</v>
      </c>
      <c r="C100" t="s">
        <v>64</v>
      </c>
      <c r="AA100" s="55"/>
      <c r="AB100" s="55"/>
      <c r="AC100" s="55"/>
      <c r="AD100" s="55"/>
    </row>
    <row r="101" spans="1:30" ht="18">
      <c r="A101" s="21" t="s">
        <v>65</v>
      </c>
      <c r="B101" s="70">
        <f>0.082*B99^-0.3*B97</f>
        <v>15.822480965612984</v>
      </c>
      <c r="C101" t="s">
        <v>64</v>
      </c>
      <c r="AA101" s="55"/>
      <c r="AB101" s="55"/>
      <c r="AC101" s="55"/>
      <c r="AD101" s="55"/>
    </row>
    <row r="102" spans="1:30">
      <c r="AA102" s="55"/>
      <c r="AB102" s="55"/>
      <c r="AC102" s="55"/>
      <c r="AD102" s="55"/>
    </row>
    <row r="103" spans="1:30" ht="18">
      <c r="A103" s="3" t="s">
        <v>2</v>
      </c>
      <c r="B103" s="4" t="s">
        <v>41</v>
      </c>
      <c r="C103" s="4" t="s">
        <v>42</v>
      </c>
      <c r="D103" s="4" t="s">
        <v>56</v>
      </c>
      <c r="E103" s="4" t="s">
        <v>57</v>
      </c>
      <c r="F103" s="4" t="s">
        <v>41</v>
      </c>
      <c r="G103" s="4" t="s">
        <v>42</v>
      </c>
      <c r="H103" s="4" t="s">
        <v>56</v>
      </c>
      <c r="I103" s="4" t="s">
        <v>57</v>
      </c>
      <c r="J103" s="4" t="s">
        <v>58</v>
      </c>
      <c r="P103"/>
      <c r="Q103"/>
      <c r="AA103" s="55"/>
      <c r="AB103" s="55"/>
      <c r="AC103" s="55"/>
      <c r="AD103" s="55"/>
    </row>
    <row r="104" spans="1:30">
      <c r="A104" s="7"/>
      <c r="B104" s="8" t="s">
        <v>19</v>
      </c>
      <c r="C104" s="8" t="s">
        <v>18</v>
      </c>
      <c r="D104" s="8" t="s">
        <v>17</v>
      </c>
      <c r="E104" s="8" t="s">
        <v>17</v>
      </c>
      <c r="F104" s="8" t="s">
        <v>19</v>
      </c>
      <c r="G104" s="8" t="s">
        <v>18</v>
      </c>
      <c r="H104" s="8" t="s">
        <v>17</v>
      </c>
      <c r="I104" s="8" t="s">
        <v>17</v>
      </c>
      <c r="J104" s="56" t="s">
        <v>17</v>
      </c>
      <c r="P104"/>
      <c r="Q104"/>
      <c r="AA104" s="55"/>
      <c r="AB104" s="55"/>
      <c r="AC104" s="55"/>
      <c r="AD104" s="55"/>
    </row>
    <row r="105" spans="1:30" ht="45">
      <c r="A105" s="62" t="s">
        <v>346</v>
      </c>
      <c r="B105" s="63">
        <v>1</v>
      </c>
      <c r="C105" s="57">
        <v>84</v>
      </c>
      <c r="D105" s="58">
        <f t="shared" ref="D105:D111" si="52">($H$112*0.52*SQRT($B$99)*C105^0.9*$B$97^0.8)/1000</f>
        <v>6.2283718772573966</v>
      </c>
      <c r="E105" s="58">
        <f t="shared" ref="E105:E111" si="53">MIN((2.3*SQRT($B$98*$B$100*$B$99))/1000+D105/4,C105*$B$100*$B$99/1000,C105*$B$100*$B$99/1000*(SQRT(2+4*$B$98/$B$100/$B$99/C105^2)-1)+D105/4)</f>
        <v>4.1648356039773766</v>
      </c>
      <c r="F105" s="63">
        <v>2</v>
      </c>
      <c r="G105" s="57">
        <v>84</v>
      </c>
      <c r="H105" s="58">
        <f t="shared" ref="H105:H111" si="54">($H$112*0.52*SQRT($B$99)*G105^0.9*$B$97^0.8)/1000</f>
        <v>6.2283718772573966</v>
      </c>
      <c r="I105" s="58">
        <f t="shared" ref="I105:I111" si="55">MIN((2.3*SQRT($B$98*$B$100*$B$99))/1000+H105/4,G105*$B$100*$B$99/1000,G105*$B$100*$B$99/1000*(SQRT(2+4*$B$98/$B$100/$B$99/G105^2)-1)+H105/4)</f>
        <v>4.1648356039773766</v>
      </c>
      <c r="J105" s="58">
        <f t="shared" ref="J105:J111" si="56">E105*B105+F105*I105</f>
        <v>12.49450681193213</v>
      </c>
      <c r="P105"/>
      <c r="Q105"/>
      <c r="AA105" s="55"/>
      <c r="AB105" s="55"/>
      <c r="AC105" s="55"/>
      <c r="AD105" s="55"/>
    </row>
    <row r="106" spans="1:30" ht="60" customHeight="1">
      <c r="A106" s="61" t="s">
        <v>347</v>
      </c>
      <c r="B106" s="63">
        <v>1</v>
      </c>
      <c r="C106" s="57">
        <v>84</v>
      </c>
      <c r="D106" s="58">
        <f t="shared" si="52"/>
        <v>6.2283718772573966</v>
      </c>
      <c r="E106" s="58">
        <f t="shared" si="53"/>
        <v>4.1648356039773766</v>
      </c>
      <c r="F106" s="63">
        <v>3</v>
      </c>
      <c r="G106" s="57">
        <v>84</v>
      </c>
      <c r="H106" s="58">
        <f t="shared" si="54"/>
        <v>6.2283718772573966</v>
      </c>
      <c r="I106" s="58">
        <f t="shared" si="55"/>
        <v>4.1648356039773766</v>
      </c>
      <c r="J106" s="58">
        <f t="shared" si="56"/>
        <v>16.659342415909506</v>
      </c>
      <c r="P106"/>
      <c r="Q106"/>
      <c r="AA106" s="55"/>
      <c r="AB106" s="55"/>
      <c r="AC106" s="55"/>
      <c r="AD106" s="55"/>
    </row>
    <row r="107" spans="1:30" ht="60" customHeight="1">
      <c r="A107" s="61" t="s">
        <v>722</v>
      </c>
      <c r="B107" s="63">
        <v>1</v>
      </c>
      <c r="C107" s="57">
        <v>164</v>
      </c>
      <c r="D107" s="58">
        <f t="shared" si="52"/>
        <v>11.373199070320702</v>
      </c>
      <c r="E107" s="58">
        <f t="shared" si="53"/>
        <v>5.6806576720870083</v>
      </c>
      <c r="F107" s="63">
        <v>3</v>
      </c>
      <c r="G107" s="57">
        <v>164</v>
      </c>
      <c r="H107" s="58">
        <f t="shared" si="54"/>
        <v>11.373199070320702</v>
      </c>
      <c r="I107" s="58">
        <f t="shared" si="55"/>
        <v>5.6806576720870083</v>
      </c>
      <c r="J107" s="58">
        <f t="shared" si="56"/>
        <v>22.722630688348033</v>
      </c>
      <c r="P107"/>
      <c r="Q107"/>
      <c r="AA107" s="55"/>
      <c r="AB107" s="55"/>
      <c r="AC107" s="55"/>
      <c r="AD107" s="55"/>
    </row>
    <row r="108" spans="1:30" ht="63" customHeight="1">
      <c r="A108" s="61" t="s">
        <v>348</v>
      </c>
      <c r="B108" s="63">
        <v>1</v>
      </c>
      <c r="C108" s="57">
        <v>84</v>
      </c>
      <c r="D108" s="58">
        <f t="shared" si="52"/>
        <v>6.2283718772573966</v>
      </c>
      <c r="E108" s="58">
        <f t="shared" si="53"/>
        <v>4.1648356039773766</v>
      </c>
      <c r="F108" s="63">
        <v>3</v>
      </c>
      <c r="G108" s="57">
        <v>84</v>
      </c>
      <c r="H108" s="58">
        <f t="shared" si="54"/>
        <v>6.2283718772573966</v>
      </c>
      <c r="I108" s="58">
        <f t="shared" si="55"/>
        <v>4.1648356039773766</v>
      </c>
      <c r="J108" s="58">
        <f t="shared" si="56"/>
        <v>16.659342415909506</v>
      </c>
      <c r="P108"/>
      <c r="Q108"/>
      <c r="AA108" s="55"/>
      <c r="AB108" s="55"/>
      <c r="AC108" s="55"/>
      <c r="AD108" s="55"/>
    </row>
    <row r="109" spans="1:30" ht="60">
      <c r="A109" s="61" t="s">
        <v>349</v>
      </c>
      <c r="B109" s="63">
        <v>1</v>
      </c>
      <c r="C109" s="57">
        <v>84</v>
      </c>
      <c r="D109" s="58">
        <f t="shared" si="52"/>
        <v>6.2283718772573966</v>
      </c>
      <c r="E109" s="58">
        <f t="shared" si="53"/>
        <v>4.1648356039773766</v>
      </c>
      <c r="F109" s="63">
        <v>5</v>
      </c>
      <c r="G109" s="57">
        <v>84</v>
      </c>
      <c r="H109" s="58">
        <f t="shared" si="54"/>
        <v>6.2283718772573966</v>
      </c>
      <c r="I109" s="58">
        <f t="shared" si="55"/>
        <v>4.1648356039773766</v>
      </c>
      <c r="J109" s="58">
        <f t="shared" si="56"/>
        <v>24.98901362386426</v>
      </c>
      <c r="P109"/>
      <c r="Q109"/>
      <c r="AA109" s="55"/>
      <c r="AB109" s="55"/>
      <c r="AC109" s="55"/>
      <c r="AD109" s="55"/>
    </row>
    <row r="110" spans="1:30" ht="60">
      <c r="A110" s="61" t="s">
        <v>724</v>
      </c>
      <c r="B110" s="63">
        <v>1</v>
      </c>
      <c r="C110" s="57">
        <v>164</v>
      </c>
      <c r="D110" s="58">
        <f t="shared" si="52"/>
        <v>11.373199070320702</v>
      </c>
      <c r="E110" s="58">
        <f t="shared" si="53"/>
        <v>5.6806576720870083</v>
      </c>
      <c r="F110" s="63">
        <v>5</v>
      </c>
      <c r="G110" s="57">
        <v>164</v>
      </c>
      <c r="H110" s="58">
        <f t="shared" si="54"/>
        <v>11.373199070320702</v>
      </c>
      <c r="I110" s="58">
        <f t="shared" si="55"/>
        <v>5.6806576720870083</v>
      </c>
      <c r="J110" s="58">
        <f t="shared" si="56"/>
        <v>34.08394603252205</v>
      </c>
      <c r="P110"/>
      <c r="Q110"/>
      <c r="AA110" s="55"/>
      <c r="AB110" s="55"/>
      <c r="AC110" s="55"/>
      <c r="AD110" s="55"/>
    </row>
    <row r="111" spans="1:30" ht="60">
      <c r="A111" s="61" t="s">
        <v>723</v>
      </c>
      <c r="B111" s="63">
        <v>1</v>
      </c>
      <c r="C111" s="57">
        <v>84</v>
      </c>
      <c r="D111" s="58">
        <f t="shared" si="52"/>
        <v>6.2283718772573966</v>
      </c>
      <c r="E111" s="58">
        <f t="shared" si="53"/>
        <v>4.1648356039773766</v>
      </c>
      <c r="F111" s="63">
        <v>4</v>
      </c>
      <c r="G111" s="57">
        <v>84</v>
      </c>
      <c r="H111" s="58">
        <f t="shared" si="54"/>
        <v>6.2283718772573966</v>
      </c>
      <c r="I111" s="58">
        <f t="shared" si="55"/>
        <v>4.1648356039773766</v>
      </c>
      <c r="J111" s="58">
        <f t="shared" si="56"/>
        <v>20.824178019886883</v>
      </c>
      <c r="P111"/>
      <c r="Q111"/>
      <c r="R111"/>
      <c r="S111"/>
      <c r="AA111" s="55"/>
      <c r="AB111" s="55"/>
      <c r="AC111" s="55"/>
      <c r="AD111" s="55"/>
    </row>
    <row r="112" spans="1:30">
      <c r="A112" s="64"/>
      <c r="B112" s="65"/>
      <c r="C112" s="66"/>
      <c r="D112" s="67"/>
      <c r="E112" s="67"/>
      <c r="F112" s="65"/>
      <c r="G112" s="66" t="s">
        <v>294</v>
      </c>
      <c r="H112" s="243">
        <v>0.6</v>
      </c>
      <c r="I112" s="67"/>
      <c r="J112" s="67"/>
      <c r="P112"/>
      <c r="Q112"/>
      <c r="R112"/>
      <c r="S112"/>
      <c r="AA112" s="55"/>
      <c r="AB112" s="55"/>
      <c r="AC112" s="55"/>
      <c r="AD112" s="55"/>
    </row>
    <row r="113" spans="1:30">
      <c r="A113" s="68"/>
      <c r="B113" s="65"/>
      <c r="C113" s="66"/>
      <c r="D113" s="67"/>
      <c r="E113" s="67"/>
      <c r="F113" s="65"/>
      <c r="G113" s="66"/>
      <c r="H113" s="67"/>
      <c r="I113" s="67"/>
      <c r="J113" s="67"/>
      <c r="P113"/>
      <c r="Q113"/>
      <c r="R113"/>
      <c r="S113"/>
      <c r="AA113" s="55"/>
      <c r="AB113" s="55"/>
      <c r="AC113" s="55"/>
      <c r="AD113" s="55"/>
    </row>
    <row r="114" spans="1:30">
      <c r="P114"/>
      <c r="Q114"/>
      <c r="R114"/>
      <c r="S114"/>
      <c r="AA114" s="55"/>
      <c r="AB114" s="55"/>
      <c r="AC114" s="55"/>
      <c r="AD114" s="55"/>
    </row>
    <row r="115" spans="1:30">
      <c r="P115"/>
      <c r="Q115"/>
      <c r="R115"/>
      <c r="S115"/>
      <c r="AA115" s="55"/>
      <c r="AB115" s="55"/>
      <c r="AC115" s="55"/>
      <c r="AD115" s="55"/>
    </row>
    <row r="116" spans="1:30" ht="18">
      <c r="A116" s="3" t="s">
        <v>2</v>
      </c>
      <c r="B116" s="4" t="s">
        <v>41</v>
      </c>
      <c r="C116" s="4" t="s">
        <v>42</v>
      </c>
      <c r="D116" s="4" t="s">
        <v>66</v>
      </c>
      <c r="E116" s="4" t="s">
        <v>67</v>
      </c>
      <c r="F116" s="4" t="s">
        <v>41</v>
      </c>
      <c r="G116" s="4" t="s">
        <v>42</v>
      </c>
      <c r="H116" s="4" t="s">
        <v>66</v>
      </c>
      <c r="I116" s="4" t="s">
        <v>67</v>
      </c>
      <c r="J116" s="4" t="s">
        <v>68</v>
      </c>
    </row>
    <row r="117" spans="1:30">
      <c r="A117" s="7"/>
      <c r="B117" s="8" t="s">
        <v>19</v>
      </c>
      <c r="C117" s="8" t="s">
        <v>18</v>
      </c>
      <c r="D117" s="8" t="s">
        <v>17</v>
      </c>
      <c r="E117" s="8" t="s">
        <v>17</v>
      </c>
      <c r="F117" s="8" t="s">
        <v>19</v>
      </c>
      <c r="G117" s="8" t="s">
        <v>18</v>
      </c>
      <c r="H117" s="8" t="s">
        <v>17</v>
      </c>
      <c r="I117" s="8" t="s">
        <v>17</v>
      </c>
      <c r="J117" s="56" t="s">
        <v>17</v>
      </c>
    </row>
    <row r="118" spans="1:30" ht="45">
      <c r="A118" s="62" t="s">
        <v>346</v>
      </c>
      <c r="B118" s="63">
        <v>1</v>
      </c>
      <c r="C118" s="57">
        <v>54</v>
      </c>
      <c r="D118" s="58">
        <f>(0.52*SQRT($B$99)*C118^0.9*$B$97^0.8)/1000</f>
        <v>6.974712508553587</v>
      </c>
      <c r="E118" s="58">
        <f>MIN((2.3*SQRT($B$98*$B$101*$B$99))/1000+D118/4,$B$101*C118*$B$99/1000,$B$101*C118*$B$99/1000*(SQRT(2+4*$B$98/$B$101/$B$99/C118^2)-1)+D118/4)</f>
        <v>5.8932746154210731</v>
      </c>
      <c r="F118" s="63">
        <v>2</v>
      </c>
      <c r="G118" s="57">
        <v>54</v>
      </c>
      <c r="H118" s="58">
        <f>(0.52*SQRT($B$99)*G118^0.9*$B$97^0.8)/1000</f>
        <v>6.974712508553587</v>
      </c>
      <c r="I118" s="58">
        <f>MIN((2.3*SQRT($B$98*$B$101*$B$99))/1000+H118/4,$B$101*G118*$B$99/1000,$B$101*G118*$B$99/1000*(SQRT(2+4*$B$98/$B$101/$B$99/G118^2)-1)+H118/4)</f>
        <v>5.8932746154210731</v>
      </c>
      <c r="J118" s="58">
        <f>E118*B118+F118*I118</f>
        <v>17.679823846263218</v>
      </c>
    </row>
    <row r="119" spans="1:30" ht="58.9" customHeight="1">
      <c r="A119" s="61" t="s">
        <v>347</v>
      </c>
      <c r="B119" s="63">
        <v>1</v>
      </c>
      <c r="C119" s="57">
        <v>54</v>
      </c>
      <c r="D119" s="58">
        <f>(0.52*SQRT($B$99)*C119^0.9*$B$97^0.8)/1000</f>
        <v>6.974712508553587</v>
      </c>
      <c r="E119" s="58">
        <f>MIN((2.3*SQRT($B$98*$B$101*$B$99))/1000+D119/4,$B$101*C119*$B$99/1000,$B$101*C119*$B$99/1000*(SQRT(2+4*$B$98/$B$101/$B$99/C119^2)-1)+D119/4)</f>
        <v>5.8932746154210731</v>
      </c>
      <c r="F119" s="63">
        <v>3</v>
      </c>
      <c r="G119" s="57">
        <v>54</v>
      </c>
      <c r="H119" s="58">
        <f>(0.52*SQRT($B$99)*G119^0.9*$B$97^0.8)/1000</f>
        <v>6.974712508553587</v>
      </c>
      <c r="I119" s="58">
        <f>MIN((2.3*SQRT($B$98*$B$101*$B$99))/1000+H119/4,$B$101*G119*$B$99/1000,$B$101*G119*$B$99/1000*(SQRT(2+4*$B$98/$B$101/$B$99/G119^2)-1)+H119/4)</f>
        <v>5.8932746154210731</v>
      </c>
      <c r="J119" s="58">
        <f>E119*B119+F119*I119</f>
        <v>23.573098461684292</v>
      </c>
    </row>
    <row r="120" spans="1:30" ht="55.9" customHeight="1">
      <c r="A120" s="61" t="s">
        <v>348</v>
      </c>
      <c r="B120" s="63">
        <v>1</v>
      </c>
      <c r="C120" s="57">
        <v>54</v>
      </c>
      <c r="D120" s="58">
        <f>(0.52*SQRT($B$99)*C120^0.9*$B$97^0.8)/1000</f>
        <v>6.974712508553587</v>
      </c>
      <c r="E120" s="58">
        <f>MIN((2.3*SQRT($B$98*$B$101*$B$99))/1000+D120/4,$B$101*C120*$B$99/1000,$B$101*C120*$B$99/1000*(SQRT(2+4*$B$98/$B$101/$B$99/C120^2)-1)+D120/4)</f>
        <v>5.8932746154210731</v>
      </c>
      <c r="F120" s="63">
        <v>3</v>
      </c>
      <c r="G120" s="57">
        <v>54</v>
      </c>
      <c r="H120" s="58">
        <f>(0.52*SQRT($B$99)*G120^0.9*$B$97^0.8)/1000</f>
        <v>6.974712508553587</v>
      </c>
      <c r="I120" s="58">
        <f>MIN((2.3*SQRT($B$98*$B$101*$B$99))/1000+H120/4,$B$101*G120*$B$99/1000,$B$101*G120*$B$99/1000*(SQRT(2+4*$B$98/$B$101/$B$99/G120^2)-1)+H120/4)</f>
        <v>5.8932746154210731</v>
      </c>
      <c r="J120" s="58">
        <f>E120*B120+F120*I120</f>
        <v>23.573098461684292</v>
      </c>
    </row>
    <row r="121" spans="1:30" ht="60">
      <c r="A121" s="61" t="s">
        <v>349</v>
      </c>
      <c r="B121" s="63">
        <v>1</v>
      </c>
      <c r="C121" s="57">
        <v>54</v>
      </c>
      <c r="D121" s="58">
        <f>(0.52*SQRT($B$99)*C121^0.9*$B$97^0.8)/1000</f>
        <v>6.974712508553587</v>
      </c>
      <c r="E121" s="58">
        <f>MIN((2.3*SQRT($B$98*$B$101*$B$99))/1000+D121/4,$B$101*C121*$B$99/1000,$B$101*C121*$B$99/1000*(SQRT(2+4*$B$98/$B$101/$B$99/C121^2)-1)+D121/4)</f>
        <v>5.8932746154210731</v>
      </c>
      <c r="F121" s="63">
        <v>5</v>
      </c>
      <c r="G121" s="57">
        <v>54</v>
      </c>
      <c r="H121" s="58">
        <f>(0.52*SQRT($B$99)*G121^0.9*$B$97^0.8)/1000</f>
        <v>6.974712508553587</v>
      </c>
      <c r="I121" s="58">
        <f>MIN((2.3*SQRT($B$98*$B$101*$B$99))/1000+H121/4,$B$101*G121*$B$99/1000,$B$101*G121*$B$99/1000*(SQRT(2+4*$B$98/$B$101/$B$99/G121^2)-1)+H121/4)</f>
        <v>5.8932746154210731</v>
      </c>
      <c r="J121" s="58">
        <f>E121*B121+F121*I121</f>
        <v>35.359647692526437</v>
      </c>
    </row>
    <row r="122" spans="1:30" ht="60">
      <c r="A122" s="61" t="s">
        <v>350</v>
      </c>
      <c r="B122" s="63">
        <v>1</v>
      </c>
      <c r="C122" s="57">
        <v>54</v>
      </c>
      <c r="D122" s="58">
        <f>(0.52*SQRT($B$99)*C122^0.9*$B$97^0.8)/1000</f>
        <v>6.974712508553587</v>
      </c>
      <c r="E122" s="58">
        <f>MIN((2.3*SQRT($B$98*$B$101*$B$99))/1000+D122/4,$B$101*C122*$B$99/1000,$B$101*C122*$B$99/1000*(SQRT(2+4*$B$98/$B$101/$B$99/C122^2)-1)+D122/4)</f>
        <v>5.8932746154210731</v>
      </c>
      <c r="F122" s="63">
        <v>5</v>
      </c>
      <c r="G122" s="57">
        <v>54</v>
      </c>
      <c r="H122" s="58">
        <f>(0.52*SQRT($B$99)*G122^0.9*$B$97^0.8)/1000</f>
        <v>6.974712508553587</v>
      </c>
      <c r="I122" s="58">
        <f>MIN((2.3*SQRT($B$98*$B$101*$B$99))/1000+H122/4,$B$101*G122*$B$99/1000,$B$101*G122*$B$99/1000*(SQRT(2+4*$B$98/$B$101/$B$99/G122^2)-1)+H122/4)</f>
        <v>5.8932746154210731</v>
      </c>
      <c r="J122" s="58">
        <f>E122*B122+F122*I122</f>
        <v>35.359647692526437</v>
      </c>
    </row>
    <row r="123" spans="1:30">
      <c r="A123" s="21"/>
      <c r="B123" s="71"/>
    </row>
    <row r="124" spans="1:30">
      <c r="A124" s="21"/>
      <c r="B124" s="71"/>
      <c r="F124" t="s">
        <v>69</v>
      </c>
    </row>
    <row r="125" spans="1:30" ht="18">
      <c r="A125" s="3" t="s">
        <v>2</v>
      </c>
      <c r="B125" s="72" t="s">
        <v>58</v>
      </c>
      <c r="C125" s="72" t="s">
        <v>70</v>
      </c>
      <c r="D125" s="4" t="s">
        <v>71</v>
      </c>
      <c r="E125" s="72" t="s">
        <v>72</v>
      </c>
      <c r="F125" s="73" t="s">
        <v>73</v>
      </c>
      <c r="G125" s="74"/>
      <c r="O125" s="3" t="s">
        <v>2</v>
      </c>
      <c r="P125" s="664" t="s">
        <v>74</v>
      </c>
      <c r="Q125" s="665"/>
      <c r="R125" s="665"/>
      <c r="S125" s="665"/>
      <c r="T125" s="666"/>
    </row>
    <row r="126" spans="1:30">
      <c r="A126" s="7"/>
      <c r="B126" s="75" t="s">
        <v>17</v>
      </c>
      <c r="C126" s="76" t="s">
        <v>17</v>
      </c>
      <c r="D126" s="8" t="s">
        <v>75</v>
      </c>
      <c r="E126" s="76" t="s">
        <v>17</v>
      </c>
      <c r="F126" s="77" t="s">
        <v>17</v>
      </c>
      <c r="G126" s="74"/>
      <c r="O126" s="7"/>
      <c r="P126" s="10">
        <v>0.6</v>
      </c>
      <c r="Q126" s="10">
        <v>0.7</v>
      </c>
      <c r="R126" s="10">
        <v>0.8</v>
      </c>
      <c r="S126" s="10">
        <v>0.9</v>
      </c>
      <c r="T126" s="10">
        <v>1</v>
      </c>
    </row>
    <row r="127" spans="1:30" ht="45">
      <c r="A127" s="62" t="s">
        <v>346</v>
      </c>
      <c r="B127" s="58">
        <f t="shared" ref="B127:B133" si="57">J105</f>
        <v>12.49450681193213</v>
      </c>
      <c r="C127" s="58">
        <v>17</v>
      </c>
      <c r="D127" s="78">
        <v>2.5499999999999998</v>
      </c>
      <c r="E127" s="58">
        <f>1/(SQRT((1/J118)^2+(1/(D127*D118))^2))</f>
        <v>12.538724423543149</v>
      </c>
      <c r="F127" s="79">
        <f>MIN(B127,E127)</f>
        <v>12.49450681193213</v>
      </c>
      <c r="G127" s="80"/>
      <c r="O127" s="62" t="s">
        <v>346</v>
      </c>
      <c r="P127" s="81">
        <f t="shared" ref="P127:T133" si="58">MIN(P$126*$B127/1.3,$C127/1,P$126*$E127/1.3)</f>
        <v>5.7666954516609827</v>
      </c>
      <c r="Q127" s="81">
        <f t="shared" si="58"/>
        <v>6.7278113602711462</v>
      </c>
      <c r="R127" s="81">
        <f t="shared" si="58"/>
        <v>7.6889272688813115</v>
      </c>
      <c r="S127" s="81">
        <f t="shared" si="58"/>
        <v>8.6500431774914741</v>
      </c>
      <c r="T127" s="81">
        <f t="shared" si="58"/>
        <v>9.6111590861016385</v>
      </c>
    </row>
    <row r="128" spans="1:30" ht="58.15" customHeight="1">
      <c r="A128" s="61" t="s">
        <v>347</v>
      </c>
      <c r="B128" s="58">
        <f t="shared" si="57"/>
        <v>16.659342415909506</v>
      </c>
      <c r="C128" s="58">
        <v>24</v>
      </c>
      <c r="D128" s="78">
        <v>4.74</v>
      </c>
      <c r="E128" s="58">
        <f>1/(SQRT((1/J119)^2+(1/(D128*D119))^2))</f>
        <v>19.193549266365359</v>
      </c>
      <c r="F128" s="79">
        <f t="shared" ref="F128:F133" si="59">MIN(B128,E128)</f>
        <v>16.659342415909506</v>
      </c>
      <c r="G128" s="80"/>
      <c r="O128" s="61" t="s">
        <v>347</v>
      </c>
      <c r="P128" s="81">
        <f t="shared" si="58"/>
        <v>7.6889272688813097</v>
      </c>
      <c r="Q128" s="81">
        <f t="shared" si="58"/>
        <v>8.970415147028195</v>
      </c>
      <c r="R128" s="81">
        <f t="shared" si="58"/>
        <v>10.251903025175082</v>
      </c>
      <c r="S128" s="81">
        <f t="shared" si="58"/>
        <v>11.533390903321965</v>
      </c>
      <c r="T128" s="81">
        <f t="shared" si="58"/>
        <v>12.814878781468851</v>
      </c>
    </row>
    <row r="129" spans="1:20" ht="58.15" customHeight="1">
      <c r="A129" s="61" t="s">
        <v>722</v>
      </c>
      <c r="B129" s="58">
        <f t="shared" si="57"/>
        <v>22.722630688348033</v>
      </c>
      <c r="C129" s="58">
        <v>24</v>
      </c>
      <c r="D129" s="78">
        <v>4.74</v>
      </c>
      <c r="E129" s="58">
        <f>E128</f>
        <v>19.193549266365359</v>
      </c>
      <c r="F129" s="79">
        <f t="shared" si="59"/>
        <v>19.193549266365359</v>
      </c>
      <c r="G129" s="80"/>
      <c r="O129" s="61" t="s">
        <v>722</v>
      </c>
      <c r="P129" s="81">
        <f t="shared" si="58"/>
        <v>8.858561199860933</v>
      </c>
      <c r="Q129" s="81">
        <f t="shared" si="58"/>
        <v>10.334988066504424</v>
      </c>
      <c r="R129" s="81">
        <f t="shared" si="58"/>
        <v>11.811414933147914</v>
      </c>
      <c r="S129" s="81">
        <f t="shared" si="58"/>
        <v>13.287841799791401</v>
      </c>
      <c r="T129" s="81">
        <f t="shared" si="58"/>
        <v>14.764268666434891</v>
      </c>
    </row>
    <row r="130" spans="1:20" ht="58.15" customHeight="1">
      <c r="A130" s="61" t="s">
        <v>348</v>
      </c>
      <c r="B130" s="58">
        <f t="shared" si="57"/>
        <v>16.659342415909506</v>
      </c>
      <c r="C130" s="58">
        <v>24</v>
      </c>
      <c r="D130" s="78">
        <v>4.95</v>
      </c>
      <c r="E130" s="58">
        <f>1/(SQRT((1/J120)^2+(1/(D130*D120))^2))</f>
        <v>19.467956736265833</v>
      </c>
      <c r="F130" s="79">
        <f t="shared" si="59"/>
        <v>16.659342415909506</v>
      </c>
      <c r="G130" s="80"/>
      <c r="O130" s="61" t="s">
        <v>348</v>
      </c>
      <c r="P130" s="81">
        <f t="shared" si="58"/>
        <v>7.6889272688813097</v>
      </c>
      <c r="Q130" s="81">
        <f t="shared" si="58"/>
        <v>8.970415147028195</v>
      </c>
      <c r="R130" s="81">
        <f t="shared" si="58"/>
        <v>10.251903025175082</v>
      </c>
      <c r="S130" s="81">
        <f t="shared" si="58"/>
        <v>11.533390903321965</v>
      </c>
      <c r="T130" s="81">
        <f t="shared" si="58"/>
        <v>12.814878781468851</v>
      </c>
    </row>
    <row r="131" spans="1:20" ht="60">
      <c r="A131" s="61" t="s">
        <v>349</v>
      </c>
      <c r="B131" s="58">
        <f t="shared" si="57"/>
        <v>24.98901362386426</v>
      </c>
      <c r="C131" s="58">
        <v>33</v>
      </c>
      <c r="D131" s="78">
        <v>8.84</v>
      </c>
      <c r="E131" s="58">
        <f>1/(SQRT((1/J121)^2+(1/(D131*D121))^2))</f>
        <v>30.673435303237074</v>
      </c>
      <c r="F131" s="79">
        <f t="shared" si="59"/>
        <v>24.98901362386426</v>
      </c>
      <c r="G131" s="82"/>
      <c r="O131" s="61" t="s">
        <v>349</v>
      </c>
      <c r="P131" s="81">
        <f t="shared" si="58"/>
        <v>11.533390903321965</v>
      </c>
      <c r="Q131" s="81">
        <f t="shared" si="58"/>
        <v>13.455622720542292</v>
      </c>
      <c r="R131" s="81">
        <f t="shared" si="58"/>
        <v>15.377854537762623</v>
      </c>
      <c r="S131" s="81">
        <f t="shared" si="58"/>
        <v>17.300086354982948</v>
      </c>
      <c r="T131" s="81">
        <f t="shared" si="58"/>
        <v>19.222318172203277</v>
      </c>
    </row>
    <row r="132" spans="1:20" ht="60">
      <c r="A132" s="61" t="s">
        <v>724</v>
      </c>
      <c r="B132" s="58">
        <f t="shared" si="57"/>
        <v>34.08394603252205</v>
      </c>
      <c r="C132" s="58">
        <v>33</v>
      </c>
      <c r="D132" s="78">
        <v>8.84</v>
      </c>
      <c r="E132" s="58">
        <f>E131</f>
        <v>30.673435303237074</v>
      </c>
      <c r="F132" s="79">
        <f t="shared" si="59"/>
        <v>30.673435303237074</v>
      </c>
      <c r="G132" s="82"/>
      <c r="O132" s="61" t="s">
        <v>724</v>
      </c>
      <c r="P132" s="81">
        <f t="shared" si="58"/>
        <v>14.156970139955572</v>
      </c>
      <c r="Q132" s="81">
        <f t="shared" si="58"/>
        <v>16.516465163281499</v>
      </c>
      <c r="R132" s="81">
        <f t="shared" si="58"/>
        <v>18.875960186607433</v>
      </c>
      <c r="S132" s="81">
        <f t="shared" si="58"/>
        <v>21.23545520993336</v>
      </c>
      <c r="T132" s="81">
        <f t="shared" si="58"/>
        <v>23.594950233259286</v>
      </c>
    </row>
    <row r="133" spans="1:20" ht="60">
      <c r="A133" s="61" t="s">
        <v>723</v>
      </c>
      <c r="B133" s="58">
        <f t="shared" si="57"/>
        <v>20.824178019886883</v>
      </c>
      <c r="C133" s="58">
        <v>33</v>
      </c>
      <c r="D133" s="78">
        <v>8.15</v>
      </c>
      <c r="E133" s="58">
        <f>1/(SQRT((1/J122)^2+(1/(D133*D122))^2))</f>
        <v>30.024686389656786</v>
      </c>
      <c r="F133" s="79">
        <f t="shared" si="59"/>
        <v>20.824178019886883</v>
      </c>
      <c r="G133" s="82"/>
      <c r="O133" s="61" t="s">
        <v>723</v>
      </c>
      <c r="P133" s="81">
        <f t="shared" si="58"/>
        <v>9.6111590861016385</v>
      </c>
      <c r="Q133" s="81">
        <f t="shared" si="58"/>
        <v>11.213018933785243</v>
      </c>
      <c r="R133" s="81">
        <f t="shared" si="58"/>
        <v>12.814878781468851</v>
      </c>
      <c r="S133" s="81">
        <f t="shared" si="58"/>
        <v>14.416738629152459</v>
      </c>
      <c r="T133" s="81">
        <f t="shared" si="58"/>
        <v>16.018598476836065</v>
      </c>
    </row>
    <row r="134" spans="1:20">
      <c r="A134" s="21"/>
      <c r="B134" s="71"/>
    </row>
    <row r="135" spans="1:20">
      <c r="A135" s="21"/>
      <c r="B135" s="71"/>
    </row>
    <row r="136" spans="1:20">
      <c r="A136" s="21"/>
      <c r="B136" s="71"/>
    </row>
    <row r="137" spans="1:20">
      <c r="A137" s="21"/>
      <c r="B137" s="71"/>
    </row>
    <row r="138" spans="1:20" ht="18.75">
      <c r="A138" s="50" t="s">
        <v>1256</v>
      </c>
      <c r="B138" s="71"/>
    </row>
    <row r="140" spans="1:20">
      <c r="A140" s="19" t="s">
        <v>35</v>
      </c>
      <c r="B140" t="str">
        <f>RICON!E5</f>
        <v>GL24h</v>
      </c>
    </row>
    <row r="141" spans="1:20" ht="18">
      <c r="A141" s="21" t="s">
        <v>37</v>
      </c>
      <c r="B141">
        <f>VLOOKUP(B140,V7:W18,2,FALSE)</f>
        <v>385</v>
      </c>
      <c r="C141" t="s">
        <v>38</v>
      </c>
    </row>
    <row r="142" spans="1:20" ht="18">
      <c r="A142" s="21" t="s">
        <v>59</v>
      </c>
      <c r="B142" s="49">
        <v>13000</v>
      </c>
      <c r="C142" s="49">
        <v>3900</v>
      </c>
      <c r="D142" t="s">
        <v>60</v>
      </c>
    </row>
    <row r="143" spans="1:20">
      <c r="A143" s="21" t="s">
        <v>61</v>
      </c>
      <c r="B143" s="49">
        <v>8</v>
      </c>
      <c r="C143" s="49">
        <v>5</v>
      </c>
      <c r="D143" t="s">
        <v>62</v>
      </c>
    </row>
    <row r="144" spans="1:20" ht="18">
      <c r="A144" s="21" t="s">
        <v>63</v>
      </c>
      <c r="B144" s="360">
        <f>0.082*$B$141*B143^-0.3/2.5</f>
        <v>6.767177642454155</v>
      </c>
      <c r="C144" s="360">
        <f>0.082*$B$141*C143^-0.3/2.5</f>
        <v>7.7919036184282815</v>
      </c>
      <c r="D144" t="s">
        <v>64</v>
      </c>
    </row>
    <row r="145" spans="1:12" ht="18">
      <c r="A145" s="21" t="s">
        <v>65</v>
      </c>
      <c r="B145" s="70">
        <f>0.082*B143^-0.3*$B$141</f>
        <v>16.917944106135387</v>
      </c>
      <c r="C145" s="70">
        <f>0.082*C143^-0.3*$B$141</f>
        <v>19.479759046070704</v>
      </c>
      <c r="D145" t="s">
        <v>64</v>
      </c>
    </row>
    <row r="146" spans="1:12">
      <c r="A146" s="21"/>
      <c r="B146" s="71"/>
    </row>
    <row r="147" spans="1:12">
      <c r="A147" s="21"/>
      <c r="B147" s="71"/>
    </row>
    <row r="148" spans="1:12" ht="18">
      <c r="A148" s="3" t="s">
        <v>2</v>
      </c>
      <c r="B148" s="4" t="s">
        <v>41</v>
      </c>
      <c r="C148" s="4" t="s">
        <v>9</v>
      </c>
      <c r="D148" s="4" t="s">
        <v>42</v>
      </c>
      <c r="E148" s="4" t="s">
        <v>56</v>
      </c>
      <c r="F148" s="4" t="s">
        <v>57</v>
      </c>
      <c r="G148" s="4" t="s">
        <v>41</v>
      </c>
      <c r="H148" s="4" t="s">
        <v>9</v>
      </c>
      <c r="I148" s="4" t="s">
        <v>42</v>
      </c>
      <c r="J148" s="4" t="s">
        <v>56</v>
      </c>
      <c r="K148" s="4" t="s">
        <v>57</v>
      </c>
      <c r="L148" s="4" t="s">
        <v>58</v>
      </c>
    </row>
    <row r="149" spans="1:12">
      <c r="A149" s="7"/>
      <c r="B149" s="8" t="s">
        <v>19</v>
      </c>
      <c r="C149" s="8" t="s">
        <v>18</v>
      </c>
      <c r="D149" s="8" t="s">
        <v>18</v>
      </c>
      <c r="E149" s="8" t="s">
        <v>17</v>
      </c>
      <c r="F149" s="8" t="s">
        <v>17</v>
      </c>
      <c r="G149" s="8" t="s">
        <v>19</v>
      </c>
      <c r="H149" s="8" t="s">
        <v>18</v>
      </c>
      <c r="I149" s="8" t="s">
        <v>18</v>
      </c>
      <c r="J149" s="8" t="s">
        <v>17</v>
      </c>
      <c r="K149" s="8" t="s">
        <v>17</v>
      </c>
      <c r="L149" s="56" t="s">
        <v>17</v>
      </c>
    </row>
    <row r="150" spans="1:12" ht="45">
      <c r="A150" s="62" t="s">
        <v>330</v>
      </c>
      <c r="B150" s="213">
        <v>1</v>
      </c>
      <c r="C150" s="213">
        <v>8</v>
      </c>
      <c r="D150" s="255">
        <v>65</v>
      </c>
      <c r="E150" s="292">
        <f t="shared" ref="E150:E155" si="60">($E$165*0.52*SQRT($C150)*D150^0.9*$B$141^0.8)/1000</f>
        <v>2.2113638026311735</v>
      </c>
      <c r="F150" s="292">
        <f t="shared" ref="F150:F164" si="61">MIN($B$144*$D150*$B$143/1000,(2.3*SQRT($B$142*$B$144*$B$143))/1000+(E150/4),$B$144*$D150*$B$143*(SQRT(2+4*$B$142/($B$144*$D150^2*$B$143))-1)/1000+E150/4)</f>
        <v>2.2856621890337152</v>
      </c>
      <c r="G150" s="213">
        <v>2</v>
      </c>
      <c r="H150" s="213">
        <v>5</v>
      </c>
      <c r="I150" s="255">
        <v>70</v>
      </c>
      <c r="J150" s="292">
        <f t="shared" ref="J150:J164" si="62">($E$165*0.52*SQRT($H150)*I150^0.9*$B$141^0.8)/1000</f>
        <v>1.8688154683555778</v>
      </c>
      <c r="K150" s="292">
        <f t="shared" ref="K150:K164" si="63">MIN($C$144*$I150*$C$143/1000,(2.3*SQRT($C$142*$C$144*$C$143))/1000+(J150/4),$C$144*$I150*$C$144*(SQRT(2+4*$C$142/($C$144*$I150^2*$C$143))-1)/1000+J150/4)</f>
        <v>1.3637382042779223</v>
      </c>
      <c r="L150" s="292">
        <f>B150*F150+G150*K150</f>
        <v>5.0131385975895597</v>
      </c>
    </row>
    <row r="151" spans="1:12" ht="45">
      <c r="A151" s="62" t="s">
        <v>334</v>
      </c>
      <c r="B151" s="213">
        <v>2</v>
      </c>
      <c r="C151" s="213">
        <v>8</v>
      </c>
      <c r="D151" s="255">
        <v>65</v>
      </c>
      <c r="E151" s="292">
        <f t="shared" si="60"/>
        <v>2.2113638026311735</v>
      </c>
      <c r="F151" s="292">
        <f t="shared" si="61"/>
        <v>2.2856621890337152</v>
      </c>
      <c r="G151" s="213">
        <v>2</v>
      </c>
      <c r="H151" s="213">
        <v>5</v>
      </c>
      <c r="I151" s="255">
        <v>70</v>
      </c>
      <c r="J151" s="292">
        <f t="shared" si="62"/>
        <v>1.8688154683555778</v>
      </c>
      <c r="K151" s="292">
        <f t="shared" si="63"/>
        <v>1.3637382042779223</v>
      </c>
      <c r="L151" s="292">
        <f t="shared" ref="L151:L164" si="64">B151*F151+G151*K151</f>
        <v>7.2988007866232749</v>
      </c>
    </row>
    <row r="152" spans="1:12" ht="45">
      <c r="A152" s="62" t="s">
        <v>331</v>
      </c>
      <c r="B152" s="213">
        <v>2</v>
      </c>
      <c r="C152" s="213">
        <v>8</v>
      </c>
      <c r="D152" s="255">
        <v>65</v>
      </c>
      <c r="E152" s="292">
        <f t="shared" si="60"/>
        <v>2.2113638026311735</v>
      </c>
      <c r="F152" s="292">
        <f t="shared" si="61"/>
        <v>2.2856621890337152</v>
      </c>
      <c r="G152" s="213">
        <v>4</v>
      </c>
      <c r="H152" s="213">
        <v>5</v>
      </c>
      <c r="I152" s="255">
        <v>70</v>
      </c>
      <c r="J152" s="292">
        <f t="shared" si="62"/>
        <v>1.8688154683555778</v>
      </c>
      <c r="K152" s="292">
        <f t="shared" si="63"/>
        <v>1.3637382042779223</v>
      </c>
      <c r="L152" s="292">
        <f t="shared" si="64"/>
        <v>10.026277195179119</v>
      </c>
    </row>
    <row r="153" spans="1:12" ht="45">
      <c r="A153" s="62" t="s">
        <v>333</v>
      </c>
      <c r="B153" s="213">
        <v>2</v>
      </c>
      <c r="C153" s="213">
        <v>8</v>
      </c>
      <c r="D153" s="255">
        <v>65</v>
      </c>
      <c r="E153" s="292">
        <f t="shared" si="60"/>
        <v>2.2113638026311735</v>
      </c>
      <c r="F153" s="292">
        <f t="shared" si="61"/>
        <v>2.2856621890337152</v>
      </c>
      <c r="G153" s="213">
        <v>6</v>
      </c>
      <c r="H153" s="213">
        <v>5</v>
      </c>
      <c r="I153" s="255">
        <v>70</v>
      </c>
      <c r="J153" s="292">
        <f t="shared" si="62"/>
        <v>1.8688154683555778</v>
      </c>
      <c r="K153" s="292">
        <f t="shared" si="63"/>
        <v>1.3637382042779223</v>
      </c>
      <c r="L153" s="292">
        <f t="shared" si="64"/>
        <v>12.753753603734964</v>
      </c>
    </row>
    <row r="154" spans="1:12" ht="45">
      <c r="A154" s="62" t="s">
        <v>332</v>
      </c>
      <c r="B154" s="213">
        <v>2</v>
      </c>
      <c r="C154" s="213">
        <v>8</v>
      </c>
      <c r="D154" s="255">
        <v>65</v>
      </c>
      <c r="E154" s="292">
        <f t="shared" si="60"/>
        <v>2.2113638026311735</v>
      </c>
      <c r="F154" s="292">
        <f t="shared" si="61"/>
        <v>2.2856621890337152</v>
      </c>
      <c r="G154" s="213">
        <v>8</v>
      </c>
      <c r="H154" s="213">
        <v>5</v>
      </c>
      <c r="I154" s="255">
        <v>70</v>
      </c>
      <c r="J154" s="292">
        <f t="shared" si="62"/>
        <v>1.8688154683555778</v>
      </c>
      <c r="K154" s="292">
        <f t="shared" si="63"/>
        <v>1.3637382042779223</v>
      </c>
      <c r="L154" s="292">
        <f t="shared" si="64"/>
        <v>15.481230012290808</v>
      </c>
    </row>
    <row r="155" spans="1:12" ht="45">
      <c r="A155" s="62" t="s">
        <v>335</v>
      </c>
      <c r="B155" s="213">
        <v>2</v>
      </c>
      <c r="C155" s="213">
        <v>8</v>
      </c>
      <c r="D155" s="255">
        <v>65</v>
      </c>
      <c r="E155" s="292">
        <f t="shared" si="60"/>
        <v>2.2113638026311735</v>
      </c>
      <c r="F155" s="292">
        <f t="shared" si="61"/>
        <v>2.2856621890337152</v>
      </c>
      <c r="G155" s="213">
        <v>10</v>
      </c>
      <c r="H155" s="213">
        <v>5</v>
      </c>
      <c r="I155" s="255">
        <v>70</v>
      </c>
      <c r="J155" s="292">
        <f t="shared" si="62"/>
        <v>1.8688154683555778</v>
      </c>
      <c r="K155" s="292">
        <f t="shared" si="63"/>
        <v>1.3637382042779223</v>
      </c>
      <c r="L155" s="292">
        <f t="shared" si="64"/>
        <v>18.208706420846653</v>
      </c>
    </row>
    <row r="156" spans="1:12" ht="45">
      <c r="A156" s="256" t="s">
        <v>738</v>
      </c>
      <c r="B156" s="213">
        <v>2</v>
      </c>
      <c r="C156" s="213">
        <v>8</v>
      </c>
      <c r="D156" s="258">
        <f>160-15</f>
        <v>145</v>
      </c>
      <c r="E156" s="292">
        <f>($E$166*0.52*SQRT($C156)*D156^0.9*$B$141^0.8)/1000</f>
        <v>9.1054072130615449</v>
      </c>
      <c r="F156" s="292">
        <f t="shared" si="61"/>
        <v>4.2058674035580026</v>
      </c>
      <c r="G156" s="213">
        <v>4</v>
      </c>
      <c r="H156" s="213">
        <v>5</v>
      </c>
      <c r="I156" s="255">
        <v>70</v>
      </c>
      <c r="J156" s="292">
        <f t="shared" si="62"/>
        <v>1.8688154683555778</v>
      </c>
      <c r="K156" s="292">
        <f t="shared" si="63"/>
        <v>1.3637382042779223</v>
      </c>
      <c r="L156" s="292">
        <f>B156*F156+G156*K156</f>
        <v>13.866687624227694</v>
      </c>
    </row>
    <row r="157" spans="1:12" ht="45">
      <c r="A157" s="256" t="s">
        <v>727</v>
      </c>
      <c r="B157" s="213">
        <v>2</v>
      </c>
      <c r="C157" s="213">
        <v>8</v>
      </c>
      <c r="D157" s="258">
        <f>160-15</f>
        <v>145</v>
      </c>
      <c r="E157" s="292">
        <f>($E$166*0.52*SQRT($C157)*D157^0.9*$B$141^0.8)/1000</f>
        <v>9.1054072130615449</v>
      </c>
      <c r="F157" s="292">
        <f t="shared" ref="F157" si="65">MIN($B$144*$D157*$B$143/1000,(2.3*SQRT($B$142*$B$144*$B$143))/1000+(E157/4),$B$144*$D157*$B$143*(SQRT(2+4*$B$142/($B$144*$D157^2*$B$143))-1)/1000+E157/4)</f>
        <v>4.2058674035580026</v>
      </c>
      <c r="G157" s="213">
        <v>6</v>
      </c>
      <c r="H157" s="213">
        <v>5</v>
      </c>
      <c r="I157" s="255">
        <v>70</v>
      </c>
      <c r="J157" s="292">
        <f t="shared" si="62"/>
        <v>1.8688154683555778</v>
      </c>
      <c r="K157" s="292">
        <f t="shared" ref="K157" si="66">MIN($C$144*$I157*$C$143/1000,(2.3*SQRT($C$142*$C$144*$C$143))/1000+(J157/4),$C$144*$I157*$C$144*(SQRT(2+4*$C$142/($C$144*$I157^2*$C$143))-1)/1000+J157/4)</f>
        <v>1.3637382042779223</v>
      </c>
      <c r="L157" s="292">
        <f>B157*F157+G157*K157</f>
        <v>16.594164032783539</v>
      </c>
    </row>
    <row r="158" spans="1:12" ht="45">
      <c r="A158" s="256" t="s">
        <v>336</v>
      </c>
      <c r="B158" s="213">
        <v>2</v>
      </c>
      <c r="C158" s="213">
        <v>8</v>
      </c>
      <c r="D158" s="258">
        <f>160-15</f>
        <v>145</v>
      </c>
      <c r="E158" s="292">
        <f>($E$166*0.52*SQRT($C158)*D158^0.9*$B$141^0.8)/1000</f>
        <v>9.1054072130615449</v>
      </c>
      <c r="F158" s="292">
        <f t="shared" si="61"/>
        <v>4.2058674035580026</v>
      </c>
      <c r="G158" s="213">
        <v>8</v>
      </c>
      <c r="H158" s="213">
        <v>5</v>
      </c>
      <c r="I158" s="255">
        <v>70</v>
      </c>
      <c r="J158" s="292">
        <f t="shared" si="62"/>
        <v>1.8688154683555778</v>
      </c>
      <c r="K158" s="292">
        <f t="shared" si="63"/>
        <v>1.3637382042779223</v>
      </c>
      <c r="L158" s="292">
        <f t="shared" si="64"/>
        <v>19.321640441339383</v>
      </c>
    </row>
    <row r="159" spans="1:12" ht="45">
      <c r="A159" s="256" t="s">
        <v>337</v>
      </c>
      <c r="B159" s="213">
        <v>2</v>
      </c>
      <c r="C159" s="213">
        <v>8</v>
      </c>
      <c r="D159" s="258">
        <f>160-15</f>
        <v>145</v>
      </c>
      <c r="E159" s="292">
        <f>($E$166*0.52*SQRT($C159)*D159^0.9*$B$141^0.8)/1000</f>
        <v>9.1054072130615449</v>
      </c>
      <c r="F159" s="292">
        <f t="shared" si="61"/>
        <v>4.2058674035580026</v>
      </c>
      <c r="G159" s="213">
        <v>10</v>
      </c>
      <c r="H159" s="213">
        <v>5</v>
      </c>
      <c r="I159" s="255">
        <v>70</v>
      </c>
      <c r="J159" s="292">
        <f t="shared" si="62"/>
        <v>1.8688154683555778</v>
      </c>
      <c r="K159" s="292">
        <f t="shared" si="63"/>
        <v>1.3637382042779223</v>
      </c>
      <c r="L159" s="292">
        <f t="shared" si="64"/>
        <v>22.049116849895228</v>
      </c>
    </row>
    <row r="160" spans="1:12" ht="45">
      <c r="A160" s="62" t="s">
        <v>338</v>
      </c>
      <c r="B160" s="213">
        <v>3</v>
      </c>
      <c r="C160" s="213">
        <v>8</v>
      </c>
      <c r="D160" s="255">
        <v>65</v>
      </c>
      <c r="E160" s="292">
        <f>($E$165*0.52*SQRT($C160)*D160^0.9*$B$141^0.8)/1000</f>
        <v>2.2113638026311735</v>
      </c>
      <c r="F160" s="292">
        <f t="shared" si="61"/>
        <v>2.2856621890337152</v>
      </c>
      <c r="G160" s="213">
        <v>4</v>
      </c>
      <c r="H160" s="213">
        <v>5</v>
      </c>
      <c r="I160" s="255">
        <v>70</v>
      </c>
      <c r="J160" s="292">
        <f t="shared" si="62"/>
        <v>1.8688154683555778</v>
      </c>
      <c r="K160" s="292">
        <f t="shared" si="63"/>
        <v>1.3637382042779223</v>
      </c>
      <c r="L160" s="292">
        <f t="shared" si="64"/>
        <v>12.311939384212835</v>
      </c>
    </row>
    <row r="161" spans="1:12" ht="43.5" customHeight="1">
      <c r="A161" s="62" t="s">
        <v>339</v>
      </c>
      <c r="B161" s="213">
        <v>3</v>
      </c>
      <c r="C161" s="213">
        <v>8</v>
      </c>
      <c r="D161" s="255">
        <v>65</v>
      </c>
      <c r="E161" s="292">
        <f>($E$165*0.52*SQRT($C161)*D161^0.9*$B$141^0.8)/1000</f>
        <v>2.2113638026311735</v>
      </c>
      <c r="F161" s="292">
        <f t="shared" si="61"/>
        <v>2.2856621890337152</v>
      </c>
      <c r="G161" s="213">
        <v>8</v>
      </c>
      <c r="H161" s="213">
        <v>5</v>
      </c>
      <c r="I161" s="255">
        <v>70</v>
      </c>
      <c r="J161" s="292">
        <f t="shared" si="62"/>
        <v>1.8688154683555778</v>
      </c>
      <c r="K161" s="292">
        <f t="shared" si="63"/>
        <v>1.3637382042779223</v>
      </c>
      <c r="L161" s="292">
        <f t="shared" si="64"/>
        <v>17.766892201324524</v>
      </c>
    </row>
    <row r="162" spans="1:12" ht="43.5" customHeight="1">
      <c r="A162" s="62" t="s">
        <v>340</v>
      </c>
      <c r="B162" s="213">
        <v>3</v>
      </c>
      <c r="C162" s="213">
        <v>8</v>
      </c>
      <c r="D162" s="255">
        <v>65</v>
      </c>
      <c r="E162" s="292">
        <f>($E$165*0.52*SQRT($C162)*D162^0.9*$B$141^0.8)/1000</f>
        <v>2.2113638026311735</v>
      </c>
      <c r="F162" s="292">
        <f t="shared" si="61"/>
        <v>2.2856621890337152</v>
      </c>
      <c r="G162" s="213">
        <v>12</v>
      </c>
      <c r="H162" s="213">
        <v>5</v>
      </c>
      <c r="I162" s="255">
        <v>70</v>
      </c>
      <c r="J162" s="292">
        <f t="shared" si="62"/>
        <v>1.8688154683555778</v>
      </c>
      <c r="K162" s="292">
        <f t="shared" si="63"/>
        <v>1.3637382042779223</v>
      </c>
      <c r="L162" s="292">
        <f t="shared" si="64"/>
        <v>23.221845018436213</v>
      </c>
    </row>
    <row r="163" spans="1:12" ht="43.5" customHeight="1">
      <c r="A163" s="62" t="s">
        <v>341</v>
      </c>
      <c r="B163" s="213">
        <v>3</v>
      </c>
      <c r="C163" s="213">
        <v>8</v>
      </c>
      <c r="D163" s="255">
        <v>65</v>
      </c>
      <c r="E163" s="292">
        <f>($E$165*0.52*SQRT($C163)*D163^0.9*$B$141^0.8)/1000</f>
        <v>2.2113638026311735</v>
      </c>
      <c r="F163" s="292">
        <f t="shared" si="61"/>
        <v>2.2856621890337152</v>
      </c>
      <c r="G163" s="213">
        <v>16</v>
      </c>
      <c r="H163" s="213">
        <v>5</v>
      </c>
      <c r="I163" s="255">
        <v>70</v>
      </c>
      <c r="J163" s="292">
        <f t="shared" si="62"/>
        <v>1.8688154683555778</v>
      </c>
      <c r="K163" s="292">
        <f t="shared" si="63"/>
        <v>1.3637382042779223</v>
      </c>
      <c r="L163" s="292">
        <f t="shared" si="64"/>
        <v>28.676797835547902</v>
      </c>
    </row>
    <row r="164" spans="1:12" ht="43.5" customHeight="1">
      <c r="A164" s="62" t="s">
        <v>342</v>
      </c>
      <c r="B164" s="213">
        <v>3</v>
      </c>
      <c r="C164" s="213">
        <v>8</v>
      </c>
      <c r="D164" s="255">
        <v>65</v>
      </c>
      <c r="E164" s="292">
        <f>($E$165*0.52*SQRT($C164)*D164^0.9*$B$141^0.8)/1000</f>
        <v>2.2113638026311735</v>
      </c>
      <c r="F164" s="292">
        <f t="shared" si="61"/>
        <v>2.2856621890337152</v>
      </c>
      <c r="G164" s="213">
        <v>20</v>
      </c>
      <c r="H164" s="213">
        <v>5</v>
      </c>
      <c r="I164" s="255">
        <v>70</v>
      </c>
      <c r="J164" s="292">
        <f t="shared" si="62"/>
        <v>1.8688154683555778</v>
      </c>
      <c r="K164" s="292">
        <f t="shared" si="63"/>
        <v>1.3637382042779223</v>
      </c>
      <c r="L164" s="292">
        <f t="shared" si="64"/>
        <v>34.131750652659591</v>
      </c>
    </row>
    <row r="165" spans="1:12">
      <c r="A165" s="100"/>
      <c r="B165" s="237"/>
      <c r="C165" s="237"/>
      <c r="D165" s="238" t="s">
        <v>329</v>
      </c>
      <c r="E165" s="247">
        <v>0.3</v>
      </c>
      <c r="G165" s="237"/>
      <c r="H165" s="237"/>
      <c r="I165" s="244"/>
      <c r="J165" s="238"/>
      <c r="K165" s="238"/>
      <c r="L165" s="238"/>
    </row>
    <row r="166" spans="1:12">
      <c r="A166" s="49"/>
      <c r="B166" s="109"/>
      <c r="C166" s="109"/>
      <c r="D166" s="110" t="s">
        <v>329</v>
      </c>
      <c r="E166" s="253">
        <v>0.6</v>
      </c>
      <c r="F166" s="110"/>
      <c r="G166" s="109"/>
      <c r="H166" s="109"/>
      <c r="I166" s="218"/>
      <c r="J166" s="110"/>
      <c r="K166" s="110"/>
      <c r="L166" s="110"/>
    </row>
    <row r="167" spans="1:12">
      <c r="B167" s="49"/>
      <c r="C167" s="49"/>
      <c r="D167" s="49"/>
      <c r="E167" s="49"/>
      <c r="F167" s="49"/>
      <c r="G167" s="49"/>
      <c r="H167" s="49"/>
      <c r="I167" s="49"/>
      <c r="J167" s="49"/>
      <c r="K167" s="49"/>
      <c r="L167" s="49"/>
    </row>
    <row r="168" spans="1:12">
      <c r="A168" s="245"/>
      <c r="B168" s="246"/>
      <c r="C168" s="246"/>
      <c r="D168" s="246"/>
      <c r="E168" s="246"/>
      <c r="F168" s="246"/>
      <c r="G168" s="246"/>
      <c r="H168" s="246"/>
      <c r="I168" s="246"/>
      <c r="J168" s="246"/>
      <c r="K168" s="246"/>
      <c r="L168" s="246"/>
    </row>
    <row r="169" spans="1:12" ht="18">
      <c r="A169" s="3" t="s">
        <v>2</v>
      </c>
      <c r="B169" s="84" t="s">
        <v>41</v>
      </c>
      <c r="C169" s="84" t="s">
        <v>9</v>
      </c>
      <c r="D169" s="84" t="s">
        <v>77</v>
      </c>
      <c r="E169" s="84" t="s">
        <v>78</v>
      </c>
      <c r="F169" s="84" t="s">
        <v>79</v>
      </c>
      <c r="G169" s="84" t="s">
        <v>41</v>
      </c>
      <c r="H169" s="84" t="s">
        <v>9</v>
      </c>
      <c r="I169" s="84" t="s">
        <v>77</v>
      </c>
      <c r="J169" s="84" t="s">
        <v>78</v>
      </c>
      <c r="K169" s="84" t="s">
        <v>79</v>
      </c>
      <c r="L169" s="84" t="s">
        <v>80</v>
      </c>
    </row>
    <row r="170" spans="1:12">
      <c r="A170" s="7"/>
      <c r="B170" s="85" t="s">
        <v>19</v>
      </c>
      <c r="C170" s="85" t="s">
        <v>18</v>
      </c>
      <c r="D170" s="85" t="s">
        <v>18</v>
      </c>
      <c r="E170" s="85" t="s">
        <v>17</v>
      </c>
      <c r="F170" s="85" t="s">
        <v>17</v>
      </c>
      <c r="G170" s="85" t="s">
        <v>19</v>
      </c>
      <c r="H170" s="85" t="s">
        <v>18</v>
      </c>
      <c r="I170" s="85" t="s">
        <v>18</v>
      </c>
      <c r="J170" s="85" t="s">
        <v>17</v>
      </c>
      <c r="K170" s="85" t="s">
        <v>17</v>
      </c>
      <c r="L170" s="86" t="s">
        <v>17</v>
      </c>
    </row>
    <row r="171" spans="1:12" ht="45">
      <c r="A171" s="62" t="s">
        <v>330</v>
      </c>
      <c r="B171" s="213">
        <v>1</v>
      </c>
      <c r="C171" s="213">
        <v>8</v>
      </c>
      <c r="D171" s="255">
        <v>35</v>
      </c>
      <c r="E171" s="292">
        <f>(0.52*SQRT($C171)*D171^0.9*$B$141^0.8)/1000</f>
        <v>4.2225826668958426</v>
      </c>
      <c r="F171" s="292">
        <f t="shared" ref="F171:F185" si="67">MIN($B$145*$B$143*D171/1000,2.3*SQRT($B$142*$B$145*$B$143)/1000+(E171/4),$B$145*$B$143*D171/1000*(SQRT(2+4*$B$142/($B$145*$B$143*D171^2))-1)+E171/4)</f>
        <v>3.5239432478980408</v>
      </c>
      <c r="G171" s="213">
        <v>2</v>
      </c>
      <c r="H171" s="213">
        <v>5</v>
      </c>
      <c r="I171" s="255">
        <v>40</v>
      </c>
      <c r="J171" s="292">
        <f>(0.52*SQRT($C$143)*I171^0.9*$B$141^0.8)/1000</f>
        <v>3.7645313796964266</v>
      </c>
      <c r="K171" s="292">
        <f t="shared" ref="K171:K185" si="68">MIN($C$145*$C$143*I171/1000,2.3*SQRT($C$142*$C$145*$C$143)/1000+(J171/4),$C$145*$C$143*I171/1000*(SQRT(2+4*$C$142/($C$145*$C$143*I171^2))-1)+J171/4)</f>
        <v>2.3586780979574704</v>
      </c>
      <c r="L171" s="292">
        <f>B171*F171+G171*K171</f>
        <v>8.2412994438129807</v>
      </c>
    </row>
    <row r="172" spans="1:12" ht="45">
      <c r="A172" s="62" t="s">
        <v>334</v>
      </c>
      <c r="B172" s="213">
        <v>2</v>
      </c>
      <c r="C172" s="213">
        <v>8</v>
      </c>
      <c r="D172" s="255">
        <v>35</v>
      </c>
      <c r="E172" s="292">
        <f t="shared" ref="E172:E185" si="69">(0.52*SQRT($C172)*D172^0.9*$B$141^0.8)/1000</f>
        <v>4.2225826668958426</v>
      </c>
      <c r="F172" s="292">
        <f t="shared" si="67"/>
        <v>3.5239432478980408</v>
      </c>
      <c r="G172" s="213">
        <v>2</v>
      </c>
      <c r="H172" s="213">
        <v>5</v>
      </c>
      <c r="I172" s="255">
        <v>40</v>
      </c>
      <c r="J172" s="292">
        <f t="shared" ref="J172:J185" si="70">(0.52*SQRT($C$143)*I172^0.9*$B$141^0.8)/1000</f>
        <v>3.7645313796964266</v>
      </c>
      <c r="K172" s="292">
        <f t="shared" si="68"/>
        <v>2.3586780979574704</v>
      </c>
      <c r="L172" s="292">
        <f t="shared" ref="L172:L185" si="71">B172*F172+G172*K172</f>
        <v>11.765242691711023</v>
      </c>
    </row>
    <row r="173" spans="1:12" ht="45">
      <c r="A173" s="62" t="s">
        <v>331</v>
      </c>
      <c r="B173" s="213">
        <v>2</v>
      </c>
      <c r="C173" s="213">
        <v>8</v>
      </c>
      <c r="D173" s="255">
        <v>35</v>
      </c>
      <c r="E173" s="292">
        <f t="shared" si="69"/>
        <v>4.2225826668958426</v>
      </c>
      <c r="F173" s="292">
        <f t="shared" si="67"/>
        <v>3.5239432478980408</v>
      </c>
      <c r="G173" s="213">
        <v>4</v>
      </c>
      <c r="H173" s="213">
        <v>5</v>
      </c>
      <c r="I173" s="255">
        <v>40</v>
      </c>
      <c r="J173" s="292">
        <f t="shared" si="70"/>
        <v>3.7645313796964266</v>
      </c>
      <c r="K173" s="292">
        <f t="shared" si="68"/>
        <v>2.3586780979574704</v>
      </c>
      <c r="L173" s="292">
        <f t="shared" si="71"/>
        <v>16.482598887625961</v>
      </c>
    </row>
    <row r="174" spans="1:12" ht="45">
      <c r="A174" s="62" t="s">
        <v>333</v>
      </c>
      <c r="B174" s="213">
        <v>2</v>
      </c>
      <c r="C174" s="213">
        <v>8</v>
      </c>
      <c r="D174" s="255">
        <v>35</v>
      </c>
      <c r="E174" s="292">
        <f t="shared" si="69"/>
        <v>4.2225826668958426</v>
      </c>
      <c r="F174" s="292">
        <f t="shared" si="67"/>
        <v>3.5239432478980408</v>
      </c>
      <c r="G174" s="213">
        <v>6</v>
      </c>
      <c r="H174" s="213">
        <v>5</v>
      </c>
      <c r="I174" s="255">
        <v>40</v>
      </c>
      <c r="J174" s="292">
        <f t="shared" si="70"/>
        <v>3.7645313796964266</v>
      </c>
      <c r="K174" s="292">
        <f t="shared" si="68"/>
        <v>2.3586780979574704</v>
      </c>
      <c r="L174" s="292">
        <f t="shared" si="71"/>
        <v>21.199955083540903</v>
      </c>
    </row>
    <row r="175" spans="1:12" ht="45">
      <c r="A175" s="62" t="s">
        <v>332</v>
      </c>
      <c r="B175" s="213">
        <v>2</v>
      </c>
      <c r="C175" s="213">
        <v>8</v>
      </c>
      <c r="D175" s="255">
        <v>35</v>
      </c>
      <c r="E175" s="292">
        <f t="shared" si="69"/>
        <v>4.2225826668958426</v>
      </c>
      <c r="F175" s="292">
        <f t="shared" si="67"/>
        <v>3.5239432478980408</v>
      </c>
      <c r="G175" s="213">
        <v>8</v>
      </c>
      <c r="H175" s="213">
        <v>5</v>
      </c>
      <c r="I175" s="255">
        <v>40</v>
      </c>
      <c r="J175" s="292">
        <f t="shared" si="70"/>
        <v>3.7645313796964266</v>
      </c>
      <c r="K175" s="292">
        <f t="shared" si="68"/>
        <v>2.3586780979574704</v>
      </c>
      <c r="L175" s="292">
        <f t="shared" si="71"/>
        <v>25.917311279455845</v>
      </c>
    </row>
    <row r="176" spans="1:12" ht="45">
      <c r="A176" s="62" t="s">
        <v>335</v>
      </c>
      <c r="B176" s="213">
        <v>2</v>
      </c>
      <c r="C176" s="213">
        <v>8</v>
      </c>
      <c r="D176" s="255">
        <v>35</v>
      </c>
      <c r="E176" s="292">
        <f t="shared" si="69"/>
        <v>4.2225826668958426</v>
      </c>
      <c r="F176" s="292">
        <f t="shared" si="67"/>
        <v>3.5239432478980408</v>
      </c>
      <c r="G176" s="213">
        <v>10</v>
      </c>
      <c r="H176" s="213">
        <v>5</v>
      </c>
      <c r="I176" s="255">
        <v>40</v>
      </c>
      <c r="J176" s="292">
        <f t="shared" si="70"/>
        <v>3.7645313796964266</v>
      </c>
      <c r="K176" s="292">
        <f t="shared" si="68"/>
        <v>2.3586780979574704</v>
      </c>
      <c r="L176" s="292">
        <f t="shared" si="71"/>
        <v>30.634667475370787</v>
      </c>
    </row>
    <row r="177" spans="1:20" ht="45">
      <c r="A177" s="256" t="s">
        <v>738</v>
      </c>
      <c r="B177" s="213">
        <v>2</v>
      </c>
      <c r="C177" s="213">
        <v>8</v>
      </c>
      <c r="D177" s="255">
        <v>35</v>
      </c>
      <c r="E177" s="292">
        <f t="shared" si="69"/>
        <v>4.2225826668958426</v>
      </c>
      <c r="F177" s="292">
        <f t="shared" si="67"/>
        <v>3.5239432478980408</v>
      </c>
      <c r="G177" s="213">
        <v>4</v>
      </c>
      <c r="H177" s="213">
        <v>5</v>
      </c>
      <c r="I177" s="255">
        <v>40</v>
      </c>
      <c r="J177" s="292">
        <f t="shared" si="70"/>
        <v>3.7645313796964266</v>
      </c>
      <c r="K177" s="292">
        <f t="shared" si="68"/>
        <v>2.3586780979574704</v>
      </c>
      <c r="L177" s="292">
        <f t="shared" si="71"/>
        <v>16.482598887625961</v>
      </c>
    </row>
    <row r="178" spans="1:20" ht="45">
      <c r="A178" s="256" t="s">
        <v>727</v>
      </c>
      <c r="B178" s="213">
        <v>2</v>
      </c>
      <c r="C178" s="213">
        <v>8</v>
      </c>
      <c r="D178" s="255">
        <v>35</v>
      </c>
      <c r="E178" s="292">
        <f t="shared" ref="E178" si="72">(0.52*SQRT($C178)*D178^0.9*$B$141^0.8)/1000</f>
        <v>4.2225826668958426</v>
      </c>
      <c r="F178" s="292">
        <f t="shared" ref="F178" si="73">MIN($B$145*$B$143*D178/1000,2.3*SQRT($B$142*$B$145*$B$143)/1000+(E178/4),$B$145*$B$143*D178/1000*(SQRT(2+4*$B$142/($B$145*$B$143*D178^2))-1)+E178/4)</f>
        <v>3.5239432478980408</v>
      </c>
      <c r="G178" s="213">
        <v>6</v>
      </c>
      <c r="H178" s="213">
        <v>5</v>
      </c>
      <c r="I178" s="255">
        <v>40</v>
      </c>
      <c r="J178" s="292">
        <f t="shared" ref="J178" si="74">(0.52*SQRT($C$143)*I178^0.9*$B$141^0.8)/1000</f>
        <v>3.7645313796964266</v>
      </c>
      <c r="K178" s="292">
        <f t="shared" ref="K178" si="75">MIN($C$145*$C$143*I178/1000,2.3*SQRT($C$142*$C$145*$C$143)/1000+(J178/4),$C$145*$C$143*I178/1000*(SQRT(2+4*$C$142/($C$145*$C$143*I178^2))-1)+J178/4)</f>
        <v>2.3586780979574704</v>
      </c>
      <c r="L178" s="292">
        <f t="shared" ref="L178" si="76">B178*F178+G178*K178</f>
        <v>21.199955083540903</v>
      </c>
    </row>
    <row r="179" spans="1:20" ht="45">
      <c r="A179" s="256" t="s">
        <v>336</v>
      </c>
      <c r="B179" s="213">
        <v>2</v>
      </c>
      <c r="C179" s="213">
        <v>8</v>
      </c>
      <c r="D179" s="255">
        <v>35</v>
      </c>
      <c r="E179" s="292">
        <f t="shared" si="69"/>
        <v>4.2225826668958426</v>
      </c>
      <c r="F179" s="292">
        <f t="shared" si="67"/>
        <v>3.5239432478980408</v>
      </c>
      <c r="G179" s="213">
        <v>8</v>
      </c>
      <c r="H179" s="213">
        <v>5</v>
      </c>
      <c r="I179" s="255">
        <v>70</v>
      </c>
      <c r="J179" s="292">
        <f t="shared" si="70"/>
        <v>6.229384894518593</v>
      </c>
      <c r="K179" s="292">
        <f t="shared" si="68"/>
        <v>2.9748914766630117</v>
      </c>
      <c r="L179" s="292">
        <f t="shared" si="71"/>
        <v>30.847018309100175</v>
      </c>
    </row>
    <row r="180" spans="1:20" ht="45">
      <c r="A180" s="256" t="s">
        <v>337</v>
      </c>
      <c r="B180" s="213">
        <v>2</v>
      </c>
      <c r="C180" s="213">
        <v>8</v>
      </c>
      <c r="D180" s="255">
        <v>35</v>
      </c>
      <c r="E180" s="292">
        <f t="shared" si="69"/>
        <v>4.2225826668958426</v>
      </c>
      <c r="F180" s="292">
        <f t="shared" si="67"/>
        <v>3.5239432478980408</v>
      </c>
      <c r="G180" s="213">
        <v>10</v>
      </c>
      <c r="H180" s="213">
        <v>5</v>
      </c>
      <c r="I180" s="255">
        <v>70</v>
      </c>
      <c r="J180" s="292">
        <f t="shared" si="70"/>
        <v>6.229384894518593</v>
      </c>
      <c r="K180" s="292">
        <f t="shared" si="68"/>
        <v>2.9748914766630117</v>
      </c>
      <c r="L180" s="292">
        <f t="shared" si="71"/>
        <v>36.7968012624262</v>
      </c>
    </row>
    <row r="181" spans="1:20" ht="45">
      <c r="A181" s="62" t="s">
        <v>338</v>
      </c>
      <c r="B181" s="213">
        <v>3</v>
      </c>
      <c r="C181" s="213">
        <v>8</v>
      </c>
      <c r="D181" s="255">
        <v>35</v>
      </c>
      <c r="E181" s="292">
        <f t="shared" si="69"/>
        <v>4.2225826668958426</v>
      </c>
      <c r="F181" s="292">
        <f t="shared" si="67"/>
        <v>3.5239432478980408</v>
      </c>
      <c r="G181" s="213">
        <v>4</v>
      </c>
      <c r="H181" s="213">
        <v>5</v>
      </c>
      <c r="I181" s="255">
        <v>40</v>
      </c>
      <c r="J181" s="292">
        <f t="shared" si="70"/>
        <v>3.7645313796964266</v>
      </c>
      <c r="K181" s="292">
        <f t="shared" si="68"/>
        <v>2.3586780979574704</v>
      </c>
      <c r="L181" s="292">
        <f t="shared" si="71"/>
        <v>20.006542135524004</v>
      </c>
    </row>
    <row r="182" spans="1:20" ht="45.75" customHeight="1">
      <c r="A182" s="62" t="s">
        <v>339</v>
      </c>
      <c r="B182" s="213">
        <v>3</v>
      </c>
      <c r="C182" s="213">
        <v>8</v>
      </c>
      <c r="D182" s="255">
        <v>35</v>
      </c>
      <c r="E182" s="292">
        <f t="shared" si="69"/>
        <v>4.2225826668958426</v>
      </c>
      <c r="F182" s="292">
        <f t="shared" si="67"/>
        <v>3.5239432478980408</v>
      </c>
      <c r="G182" s="213">
        <v>8</v>
      </c>
      <c r="H182" s="213">
        <v>5</v>
      </c>
      <c r="I182" s="255">
        <v>40</v>
      </c>
      <c r="J182" s="292">
        <f t="shared" si="70"/>
        <v>3.7645313796964266</v>
      </c>
      <c r="K182" s="292">
        <f t="shared" si="68"/>
        <v>2.3586780979574704</v>
      </c>
      <c r="L182" s="292">
        <f t="shared" si="71"/>
        <v>29.441254527353884</v>
      </c>
    </row>
    <row r="183" spans="1:20" ht="45.75" customHeight="1">
      <c r="A183" s="62" t="s">
        <v>340</v>
      </c>
      <c r="B183" s="213">
        <v>3</v>
      </c>
      <c r="C183" s="213">
        <v>8</v>
      </c>
      <c r="D183" s="255">
        <v>35</v>
      </c>
      <c r="E183" s="292">
        <f t="shared" si="69"/>
        <v>4.2225826668958426</v>
      </c>
      <c r="F183" s="292">
        <f t="shared" si="67"/>
        <v>3.5239432478980408</v>
      </c>
      <c r="G183" s="213">
        <v>12</v>
      </c>
      <c r="H183" s="213">
        <v>5</v>
      </c>
      <c r="I183" s="255">
        <v>40</v>
      </c>
      <c r="J183" s="292">
        <f t="shared" si="70"/>
        <v>3.7645313796964266</v>
      </c>
      <c r="K183" s="292">
        <f t="shared" si="68"/>
        <v>2.3586780979574704</v>
      </c>
      <c r="L183" s="292">
        <f t="shared" si="71"/>
        <v>38.875966919183767</v>
      </c>
    </row>
    <row r="184" spans="1:20" ht="45.75" customHeight="1">
      <c r="A184" s="62" t="s">
        <v>341</v>
      </c>
      <c r="B184" s="213">
        <v>3</v>
      </c>
      <c r="C184" s="213">
        <v>8</v>
      </c>
      <c r="D184" s="255">
        <v>35</v>
      </c>
      <c r="E184" s="292">
        <f t="shared" si="69"/>
        <v>4.2225826668958426</v>
      </c>
      <c r="F184" s="292">
        <f t="shared" si="67"/>
        <v>3.5239432478980408</v>
      </c>
      <c r="G184" s="213">
        <v>16</v>
      </c>
      <c r="H184" s="213">
        <v>5</v>
      </c>
      <c r="I184" s="255">
        <v>40</v>
      </c>
      <c r="J184" s="292">
        <f t="shared" si="70"/>
        <v>3.7645313796964266</v>
      </c>
      <c r="K184" s="292">
        <f t="shared" si="68"/>
        <v>2.3586780979574704</v>
      </c>
      <c r="L184" s="292">
        <f t="shared" si="71"/>
        <v>48.310679311013651</v>
      </c>
    </row>
    <row r="185" spans="1:20" ht="45.75" customHeight="1">
      <c r="A185" s="62" t="s">
        <v>342</v>
      </c>
      <c r="B185" s="213">
        <v>3</v>
      </c>
      <c r="C185" s="213">
        <v>8</v>
      </c>
      <c r="D185" s="255">
        <v>35</v>
      </c>
      <c r="E185" s="292">
        <f t="shared" si="69"/>
        <v>4.2225826668958426</v>
      </c>
      <c r="F185" s="292">
        <f t="shared" si="67"/>
        <v>3.5239432478980408</v>
      </c>
      <c r="G185" s="213">
        <v>20</v>
      </c>
      <c r="H185" s="213">
        <v>5</v>
      </c>
      <c r="I185" s="255">
        <v>40</v>
      </c>
      <c r="J185" s="292">
        <f t="shared" si="70"/>
        <v>3.7645313796964266</v>
      </c>
      <c r="K185" s="292">
        <f t="shared" si="68"/>
        <v>2.3586780979574704</v>
      </c>
      <c r="L185" s="292">
        <f t="shared" si="71"/>
        <v>57.745391702843534</v>
      </c>
    </row>
    <row r="187" spans="1:20">
      <c r="B187" s="71"/>
      <c r="F187" t="s">
        <v>69</v>
      </c>
    </row>
    <row r="188" spans="1:20" ht="18">
      <c r="A188" s="3" t="s">
        <v>2</v>
      </c>
      <c r="B188" s="72" t="s">
        <v>58</v>
      </c>
      <c r="C188" s="72" t="s">
        <v>70</v>
      </c>
      <c r="D188" s="4" t="s">
        <v>71</v>
      </c>
      <c r="E188" s="72" t="s">
        <v>72</v>
      </c>
      <c r="F188" s="73" t="s">
        <v>73</v>
      </c>
      <c r="G188" s="74"/>
      <c r="O188" s="3" t="s">
        <v>2</v>
      </c>
      <c r="P188" s="664" t="s">
        <v>74</v>
      </c>
      <c r="Q188" s="665"/>
      <c r="R188" s="665"/>
      <c r="S188" s="665"/>
      <c r="T188" s="666"/>
    </row>
    <row r="189" spans="1:20">
      <c r="A189" s="7"/>
      <c r="B189" s="75" t="s">
        <v>17</v>
      </c>
      <c r="C189" s="76" t="s">
        <v>17</v>
      </c>
      <c r="D189" s="8" t="s">
        <v>75</v>
      </c>
      <c r="E189" s="76" t="s">
        <v>17</v>
      </c>
      <c r="F189" s="77" t="s">
        <v>17</v>
      </c>
      <c r="G189" s="74"/>
      <c r="O189" s="7"/>
      <c r="P189" s="87">
        <v>0.6</v>
      </c>
      <c r="Q189" s="87">
        <v>0.7</v>
      </c>
      <c r="R189" s="87">
        <v>0.8</v>
      </c>
      <c r="S189" s="87">
        <v>0.9</v>
      </c>
      <c r="T189" s="87">
        <v>1</v>
      </c>
    </row>
    <row r="190" spans="1:20" ht="45">
      <c r="A190" s="62" t="s">
        <v>330</v>
      </c>
      <c r="B190" s="123">
        <f t="shared" ref="B190:B204" si="77">L150</f>
        <v>5.0131385975895597</v>
      </c>
      <c r="C190" s="123">
        <v>6</v>
      </c>
      <c r="D190" s="249">
        <v>2.2999999999999998</v>
      </c>
      <c r="E190" s="252">
        <f t="shared" ref="E190:E204" si="78">1/(SQRT((1/L171)^2+(1/(D190*E171)^2)))</f>
        <v>6.2837898803493735</v>
      </c>
      <c r="F190" s="300">
        <f>MIN(B190,E190)</f>
        <v>5.0131385975895597</v>
      </c>
      <c r="G190" s="89"/>
      <c r="O190" s="62" t="s">
        <v>330</v>
      </c>
      <c r="P190" s="81">
        <f>MIN(P$189*$B190/1.3,$C190/1,P$189*$E190/1.3)</f>
        <v>2.3137562758105656</v>
      </c>
      <c r="Q190" s="81">
        <f>MIN(Q$189*$B190/1.3,$C190/1,Q$189*$E190/1.3)</f>
        <v>2.6993823217789936</v>
      </c>
      <c r="R190" s="81">
        <f>MIN(R$189*$B190/1.3,$C190/1,R$189*$E190/1.3)</f>
        <v>3.0850083677474216</v>
      </c>
      <c r="S190" s="81">
        <f>MIN(S$189*$B190/1.3,$C190/1,S$189*$E190/1.3)</f>
        <v>3.4706344137158487</v>
      </c>
      <c r="T190" s="81">
        <f>MIN(T$189*$B190/1.3,$C190/1,T$189*$E190/1.3)</f>
        <v>3.8562604596842767</v>
      </c>
    </row>
    <row r="191" spans="1:20" ht="45">
      <c r="A191" s="62" t="s">
        <v>334</v>
      </c>
      <c r="B191" s="123">
        <f t="shared" si="77"/>
        <v>7.2988007866232749</v>
      </c>
      <c r="C191" s="123">
        <v>11</v>
      </c>
      <c r="D191" s="249">
        <v>5.09</v>
      </c>
      <c r="E191" s="252">
        <f t="shared" si="78"/>
        <v>10.320201821419344</v>
      </c>
      <c r="F191" s="300">
        <f t="shared" ref="F191:F204" si="79">MIN(B191,E191)</f>
        <v>7.2988007866232749</v>
      </c>
      <c r="G191" s="89"/>
      <c r="O191" s="62" t="s">
        <v>334</v>
      </c>
      <c r="P191" s="81">
        <f t="shared" ref="P191:T204" si="80">MIN(P$189*$B191/1.3,$C191/1,P$189*$E191/1.3)</f>
        <v>3.3686772861338188</v>
      </c>
      <c r="Q191" s="81">
        <f t="shared" si="80"/>
        <v>3.9301235004894552</v>
      </c>
      <c r="R191" s="81">
        <f t="shared" si="80"/>
        <v>4.4915697148450926</v>
      </c>
      <c r="S191" s="81">
        <f t="shared" si="80"/>
        <v>5.0530159292007291</v>
      </c>
      <c r="T191" s="81">
        <f t="shared" si="80"/>
        <v>5.6144621435563655</v>
      </c>
    </row>
    <row r="192" spans="1:20" ht="45">
      <c r="A192" s="62" t="s">
        <v>331</v>
      </c>
      <c r="B192" s="123">
        <f t="shared" si="77"/>
        <v>10.026277195179119</v>
      </c>
      <c r="C192" s="123">
        <v>14</v>
      </c>
      <c r="D192" s="249">
        <v>10.9</v>
      </c>
      <c r="E192" s="252">
        <f t="shared" si="78"/>
        <v>15.517576285479718</v>
      </c>
      <c r="F192" s="300">
        <f t="shared" si="79"/>
        <v>10.026277195179119</v>
      </c>
      <c r="G192" s="89"/>
      <c r="O192" s="62" t="s">
        <v>331</v>
      </c>
      <c r="P192" s="81">
        <f t="shared" si="80"/>
        <v>4.6275125516211313</v>
      </c>
      <c r="Q192" s="81">
        <f t="shared" si="80"/>
        <v>5.3987646435579872</v>
      </c>
      <c r="R192" s="81">
        <f t="shared" si="80"/>
        <v>6.1700167354948432</v>
      </c>
      <c r="S192" s="81">
        <f t="shared" si="80"/>
        <v>6.9412688274316974</v>
      </c>
      <c r="T192" s="81">
        <f t="shared" si="80"/>
        <v>7.7125209193685533</v>
      </c>
    </row>
    <row r="193" spans="1:20" ht="45">
      <c r="A193" s="62" t="s">
        <v>333</v>
      </c>
      <c r="B193" s="123">
        <f t="shared" si="77"/>
        <v>12.753753603734964</v>
      </c>
      <c r="C193" s="123">
        <v>18</v>
      </c>
      <c r="D193" s="249">
        <v>19.100000000000001</v>
      </c>
      <c r="E193" s="252">
        <f t="shared" si="78"/>
        <v>20.503442515936641</v>
      </c>
      <c r="F193" s="300">
        <f t="shared" si="79"/>
        <v>12.753753603734964</v>
      </c>
      <c r="G193" s="89"/>
      <c r="O193" s="62" t="s">
        <v>333</v>
      </c>
      <c r="P193" s="81">
        <f t="shared" si="80"/>
        <v>5.8863478171084447</v>
      </c>
      <c r="Q193" s="81">
        <f t="shared" si="80"/>
        <v>6.8674057866265183</v>
      </c>
      <c r="R193" s="81">
        <f t="shared" si="80"/>
        <v>7.8484637561445938</v>
      </c>
      <c r="S193" s="81">
        <f t="shared" si="80"/>
        <v>8.8295217256626675</v>
      </c>
      <c r="T193" s="81">
        <f t="shared" si="80"/>
        <v>9.810579695180742</v>
      </c>
    </row>
    <row r="194" spans="1:20" ht="45">
      <c r="A194" s="62" t="s">
        <v>332</v>
      </c>
      <c r="B194" s="123">
        <f t="shared" si="77"/>
        <v>15.481230012290808</v>
      </c>
      <c r="C194" s="123">
        <v>18</v>
      </c>
      <c r="D194" s="249">
        <v>29.6</v>
      </c>
      <c r="E194" s="252">
        <f t="shared" si="78"/>
        <v>25.37747298728587</v>
      </c>
      <c r="F194" s="300">
        <f t="shared" si="79"/>
        <v>15.481230012290808</v>
      </c>
      <c r="G194" s="89"/>
      <c r="O194" s="62" t="s">
        <v>332</v>
      </c>
      <c r="P194" s="81">
        <f t="shared" si="80"/>
        <v>7.1451830825957581</v>
      </c>
      <c r="Q194" s="81">
        <f t="shared" si="80"/>
        <v>8.3360469296950495</v>
      </c>
      <c r="R194" s="81">
        <f t="shared" si="80"/>
        <v>9.5269107767943435</v>
      </c>
      <c r="S194" s="81">
        <f t="shared" si="80"/>
        <v>10.717774623893636</v>
      </c>
      <c r="T194" s="81">
        <f t="shared" si="80"/>
        <v>11.90863847099293</v>
      </c>
    </row>
    <row r="195" spans="1:20" ht="45">
      <c r="A195" s="62" t="s">
        <v>335</v>
      </c>
      <c r="B195" s="123">
        <f t="shared" si="77"/>
        <v>18.208706420846653</v>
      </c>
      <c r="C195" s="123">
        <v>18</v>
      </c>
      <c r="D195" s="249">
        <v>42.6</v>
      </c>
      <c r="E195" s="252">
        <f t="shared" si="78"/>
        <v>30.199846731059701</v>
      </c>
      <c r="F195" s="300">
        <f t="shared" si="79"/>
        <v>18.208706420846653</v>
      </c>
      <c r="G195" s="89"/>
      <c r="O195" s="62" t="s">
        <v>335</v>
      </c>
      <c r="P195" s="81">
        <f t="shared" si="80"/>
        <v>8.4040183480830706</v>
      </c>
      <c r="Q195" s="81">
        <f t="shared" si="80"/>
        <v>9.8046880727635806</v>
      </c>
      <c r="R195" s="81">
        <f t="shared" si="80"/>
        <v>11.205357797444094</v>
      </c>
      <c r="S195" s="81">
        <f t="shared" si="80"/>
        <v>12.606027522124606</v>
      </c>
      <c r="T195" s="81">
        <f t="shared" si="80"/>
        <v>14.006697246805118</v>
      </c>
    </row>
    <row r="196" spans="1:20" ht="45">
      <c r="A196" s="256" t="s">
        <v>738</v>
      </c>
      <c r="B196" s="123">
        <f t="shared" si="77"/>
        <v>13.866687624227694</v>
      </c>
      <c r="C196" s="123">
        <v>14</v>
      </c>
      <c r="D196" s="249">
        <v>10.9</v>
      </c>
      <c r="E196" s="252">
        <f t="shared" si="78"/>
        <v>15.517576285479718</v>
      </c>
      <c r="F196" s="300">
        <f t="shared" ref="F196" si="81">MIN(B196,E196)</f>
        <v>13.866687624227694</v>
      </c>
      <c r="G196" s="89"/>
      <c r="O196" s="256" t="s">
        <v>738</v>
      </c>
      <c r="P196" s="81">
        <f t="shared" si="80"/>
        <v>6.4000096727204738</v>
      </c>
      <c r="Q196" s="81">
        <f t="shared" si="80"/>
        <v>7.4666779515072186</v>
      </c>
      <c r="R196" s="81">
        <f t="shared" si="80"/>
        <v>8.5333462302939669</v>
      </c>
      <c r="S196" s="81">
        <f t="shared" si="80"/>
        <v>9.6000145090807116</v>
      </c>
      <c r="T196" s="81">
        <f t="shared" si="80"/>
        <v>10.666682787867456</v>
      </c>
    </row>
    <row r="197" spans="1:20" ht="45">
      <c r="A197" s="256" t="s">
        <v>727</v>
      </c>
      <c r="B197" s="123">
        <f t="shared" si="77"/>
        <v>16.594164032783539</v>
      </c>
      <c r="C197" s="123">
        <v>18</v>
      </c>
      <c r="D197" s="249">
        <v>19.100000000000001</v>
      </c>
      <c r="E197" s="252">
        <f t="shared" si="78"/>
        <v>20.503442515936641</v>
      </c>
      <c r="F197" s="300">
        <f t="shared" ref="F197" si="82">MIN(B197,E197)</f>
        <v>16.594164032783539</v>
      </c>
      <c r="G197" s="89"/>
      <c r="O197" s="256" t="s">
        <v>727</v>
      </c>
      <c r="P197" s="81">
        <f t="shared" si="80"/>
        <v>7.6588449382077863</v>
      </c>
      <c r="Q197" s="81">
        <f t="shared" si="80"/>
        <v>8.9353190945757497</v>
      </c>
      <c r="R197" s="81">
        <f t="shared" si="80"/>
        <v>10.211793250943717</v>
      </c>
      <c r="S197" s="81">
        <f t="shared" si="80"/>
        <v>11.48826740731168</v>
      </c>
      <c r="T197" s="81">
        <f t="shared" si="80"/>
        <v>12.764741563679644</v>
      </c>
    </row>
    <row r="198" spans="1:20" ht="45">
      <c r="A198" s="256" t="s">
        <v>336</v>
      </c>
      <c r="B198" s="123">
        <f t="shared" si="77"/>
        <v>19.321640441339383</v>
      </c>
      <c r="C198" s="123">
        <v>18</v>
      </c>
      <c r="D198" s="249">
        <v>29.6</v>
      </c>
      <c r="E198" s="252">
        <f t="shared" si="78"/>
        <v>29.948424200011651</v>
      </c>
      <c r="F198" s="300">
        <f t="shared" si="79"/>
        <v>19.321640441339383</v>
      </c>
      <c r="G198" s="89"/>
      <c r="O198" s="256" t="s">
        <v>336</v>
      </c>
      <c r="P198" s="81">
        <f t="shared" si="80"/>
        <v>8.9176802036950988</v>
      </c>
      <c r="Q198" s="81">
        <f t="shared" si="80"/>
        <v>10.403960237644283</v>
      </c>
      <c r="R198" s="81">
        <f t="shared" si="80"/>
        <v>11.890240271593468</v>
      </c>
      <c r="S198" s="81">
        <f t="shared" si="80"/>
        <v>13.37652030554265</v>
      </c>
      <c r="T198" s="81">
        <f t="shared" si="80"/>
        <v>14.862800339491832</v>
      </c>
    </row>
    <row r="199" spans="1:20" ht="45">
      <c r="A199" s="256" t="s">
        <v>337</v>
      </c>
      <c r="B199" s="123">
        <f t="shared" si="77"/>
        <v>22.049116849895228</v>
      </c>
      <c r="C199" s="123">
        <v>18</v>
      </c>
      <c r="D199" s="249">
        <v>42.6</v>
      </c>
      <c r="E199" s="252">
        <f t="shared" si="78"/>
        <v>36.050267394696462</v>
      </c>
      <c r="F199" s="300">
        <f t="shared" si="79"/>
        <v>22.049116849895228</v>
      </c>
      <c r="G199" s="89"/>
      <c r="O199" s="256" t="s">
        <v>337</v>
      </c>
      <c r="P199" s="81">
        <f t="shared" si="80"/>
        <v>10.176515469182412</v>
      </c>
      <c r="Q199" s="81">
        <f t="shared" si="80"/>
        <v>11.872601380712814</v>
      </c>
      <c r="R199" s="81">
        <f t="shared" si="80"/>
        <v>13.568687292243217</v>
      </c>
      <c r="S199" s="81">
        <f t="shared" si="80"/>
        <v>15.264773203773618</v>
      </c>
      <c r="T199" s="81">
        <f t="shared" si="80"/>
        <v>16.960859115304022</v>
      </c>
    </row>
    <row r="200" spans="1:20" ht="45">
      <c r="A200" s="62" t="s">
        <v>338</v>
      </c>
      <c r="B200" s="123">
        <f t="shared" si="77"/>
        <v>12.311939384212835</v>
      </c>
      <c r="C200" s="123">
        <v>11</v>
      </c>
      <c r="D200" s="249">
        <v>27.6</v>
      </c>
      <c r="E200" s="252">
        <f t="shared" si="78"/>
        <v>19.718112337749027</v>
      </c>
      <c r="F200" s="300">
        <f t="shared" si="79"/>
        <v>12.311939384212835</v>
      </c>
      <c r="G200" s="89"/>
      <c r="O200" s="62" t="s">
        <v>338</v>
      </c>
      <c r="P200" s="81">
        <f t="shared" si="80"/>
        <v>5.6824335619443849</v>
      </c>
      <c r="Q200" s="81">
        <f t="shared" si="80"/>
        <v>6.6295058222684489</v>
      </c>
      <c r="R200" s="81">
        <f t="shared" si="80"/>
        <v>7.5765780825925138</v>
      </c>
      <c r="S200" s="81">
        <f t="shared" si="80"/>
        <v>8.5236503429165786</v>
      </c>
      <c r="T200" s="81">
        <f t="shared" si="80"/>
        <v>9.4707226032406417</v>
      </c>
    </row>
    <row r="201" spans="1:20" ht="46.5" customHeight="1">
      <c r="A201" s="62" t="s">
        <v>339</v>
      </c>
      <c r="B201" s="123">
        <f t="shared" si="77"/>
        <v>17.766892201324524</v>
      </c>
      <c r="C201" s="123">
        <v>14</v>
      </c>
      <c r="D201" s="249">
        <v>56.5</v>
      </c>
      <c r="E201" s="252">
        <f t="shared" si="78"/>
        <v>29.21960860471922</v>
      </c>
      <c r="F201" s="300">
        <f t="shared" si="79"/>
        <v>17.766892201324524</v>
      </c>
      <c r="G201" s="89"/>
      <c r="O201" s="62" t="s">
        <v>339</v>
      </c>
      <c r="P201" s="81">
        <f t="shared" si="80"/>
        <v>8.2001040929190108</v>
      </c>
      <c r="Q201" s="81">
        <f t="shared" si="80"/>
        <v>9.5667881084055111</v>
      </c>
      <c r="R201" s="81">
        <f t="shared" si="80"/>
        <v>10.933472123892015</v>
      </c>
      <c r="S201" s="81">
        <f t="shared" si="80"/>
        <v>12.300156139378517</v>
      </c>
      <c r="T201" s="81">
        <f t="shared" si="80"/>
        <v>13.666840154865017</v>
      </c>
    </row>
    <row r="202" spans="1:20" ht="46.5" customHeight="1">
      <c r="A202" s="62" t="s">
        <v>340</v>
      </c>
      <c r="B202" s="123">
        <f t="shared" si="77"/>
        <v>23.221845018436213</v>
      </c>
      <c r="C202" s="123">
        <v>18</v>
      </c>
      <c r="D202" s="249">
        <v>94.8</v>
      </c>
      <c r="E202" s="252">
        <f t="shared" si="78"/>
        <v>38.693920674875599</v>
      </c>
      <c r="F202" s="300">
        <f t="shared" si="79"/>
        <v>23.221845018436213</v>
      </c>
      <c r="G202" s="89"/>
      <c r="O202" s="62" t="s">
        <v>340</v>
      </c>
      <c r="P202" s="81">
        <f t="shared" si="80"/>
        <v>10.717774623893636</v>
      </c>
      <c r="Q202" s="81">
        <f t="shared" si="80"/>
        <v>12.504070394542575</v>
      </c>
      <c r="R202" s="81">
        <f t="shared" si="80"/>
        <v>14.290366165191516</v>
      </c>
      <c r="S202" s="81">
        <f t="shared" si="80"/>
        <v>16.076661935840455</v>
      </c>
      <c r="T202" s="81">
        <f t="shared" si="80"/>
        <v>17.862957706489393</v>
      </c>
    </row>
    <row r="203" spans="1:20" ht="46.5" customHeight="1">
      <c r="A203" s="62" t="s">
        <v>341</v>
      </c>
      <c r="B203" s="123">
        <f t="shared" si="77"/>
        <v>28.676797835547902</v>
      </c>
      <c r="C203" s="123">
        <v>18</v>
      </c>
      <c r="D203" s="249">
        <v>94.8</v>
      </c>
      <c r="E203" s="252">
        <f t="shared" si="78"/>
        <v>47.962651727427655</v>
      </c>
      <c r="F203" s="300">
        <f t="shared" si="79"/>
        <v>28.676797835547902</v>
      </c>
      <c r="G203" s="90"/>
      <c r="O203" s="62" t="s">
        <v>341</v>
      </c>
      <c r="P203" s="81">
        <f t="shared" si="80"/>
        <v>13.235445154868261</v>
      </c>
      <c r="Q203" s="81">
        <f t="shared" si="80"/>
        <v>15.441352680679639</v>
      </c>
      <c r="R203" s="81">
        <f t="shared" si="80"/>
        <v>17.647260206491016</v>
      </c>
      <c r="S203" s="81">
        <f t="shared" si="80"/>
        <v>18</v>
      </c>
      <c r="T203" s="81">
        <f t="shared" si="80"/>
        <v>18</v>
      </c>
    </row>
    <row r="204" spans="1:20" ht="46.5" customHeight="1">
      <c r="A204" s="62" t="s">
        <v>342</v>
      </c>
      <c r="B204" s="123">
        <f t="shared" si="77"/>
        <v>34.131750652659591</v>
      </c>
      <c r="C204" s="123">
        <v>18</v>
      </c>
      <c r="D204" s="249">
        <v>94.8</v>
      </c>
      <c r="E204" s="252">
        <f t="shared" si="78"/>
        <v>57.153782775838984</v>
      </c>
      <c r="F204" s="300">
        <f t="shared" si="79"/>
        <v>34.131750652659591</v>
      </c>
      <c r="G204" s="90"/>
      <c r="O204" s="62" t="s">
        <v>342</v>
      </c>
      <c r="P204" s="81">
        <f t="shared" si="80"/>
        <v>15.753115685842886</v>
      </c>
      <c r="Q204" s="81">
        <f t="shared" si="80"/>
        <v>18</v>
      </c>
      <c r="R204" s="81">
        <f t="shared" si="80"/>
        <v>18</v>
      </c>
      <c r="S204" s="81">
        <f t="shared" si="80"/>
        <v>18</v>
      </c>
      <c r="T204" s="81">
        <f t="shared" si="80"/>
        <v>18</v>
      </c>
    </row>
    <row r="205" spans="1:20">
      <c r="A205" s="83"/>
      <c r="D205" s="91"/>
    </row>
    <row r="206" spans="1:20">
      <c r="D206" s="92"/>
    </row>
    <row r="207" spans="1:20" ht="18.75">
      <c r="A207" s="50" t="s">
        <v>1257</v>
      </c>
      <c r="D207" s="92"/>
    </row>
    <row r="208" spans="1:20" ht="18.75">
      <c r="A208" s="50"/>
      <c r="D208" s="92"/>
    </row>
    <row r="209" spans="1:19">
      <c r="A209" s="19" t="s">
        <v>35</v>
      </c>
      <c r="B209" t="str">
        <f>'RICON-S'!E6</f>
        <v>GL24h</v>
      </c>
      <c r="D209" s="92"/>
    </row>
    <row r="210" spans="1:19" ht="18">
      <c r="A210" s="21" t="s">
        <v>37</v>
      </c>
      <c r="B210">
        <f>VLOOKUP(B209,V7:W18,2,FALSE)</f>
        <v>385</v>
      </c>
      <c r="C210" t="s">
        <v>38</v>
      </c>
    </row>
    <row r="211" spans="1:19" ht="18">
      <c r="A211" s="21" t="s">
        <v>59</v>
      </c>
      <c r="B211" s="49">
        <v>35000</v>
      </c>
      <c r="C211" s="49">
        <v>20000</v>
      </c>
      <c r="D211" t="s">
        <v>60</v>
      </c>
    </row>
    <row r="212" spans="1:19">
      <c r="A212" s="21" t="s">
        <v>61</v>
      </c>
      <c r="B212" s="49">
        <v>10</v>
      </c>
      <c r="C212" s="49">
        <v>8</v>
      </c>
      <c r="D212" t="s">
        <v>62</v>
      </c>
    </row>
    <row r="213" spans="1:19" ht="18">
      <c r="A213" s="21" t="s">
        <v>63</v>
      </c>
      <c r="B213" s="93">
        <f>0.033*$B$210*B212^-0.3</f>
        <v>6.3675838032344938</v>
      </c>
      <c r="C213" s="93">
        <f>0.033*$B$210*C212^-0.3</f>
        <v>6.808440920761802</v>
      </c>
      <c r="D213" t="s">
        <v>64</v>
      </c>
    </row>
    <row r="214" spans="1:19" ht="18">
      <c r="A214" s="21" t="s">
        <v>65</v>
      </c>
      <c r="B214" s="70">
        <f>0.082*B212^-0.3*$B$210</f>
        <v>15.822480965612984</v>
      </c>
      <c r="C214" s="70">
        <f>0.082*C212^-0.3*$B$210</f>
        <v>16.917944106135387</v>
      </c>
      <c r="D214" t="s">
        <v>64</v>
      </c>
    </row>
    <row r="216" spans="1:19">
      <c r="D216" s="92"/>
    </row>
    <row r="218" spans="1:19" ht="18">
      <c r="A218" s="3" t="s">
        <v>2</v>
      </c>
      <c r="B218" s="4" t="s">
        <v>41</v>
      </c>
      <c r="C218" s="4" t="s">
        <v>9</v>
      </c>
      <c r="D218" s="4" t="s">
        <v>42</v>
      </c>
      <c r="E218" s="4" t="s">
        <v>56</v>
      </c>
      <c r="F218" s="4" t="s">
        <v>57</v>
      </c>
      <c r="G218" s="4" t="s">
        <v>58</v>
      </c>
      <c r="H218" s="29"/>
      <c r="I218" s="2"/>
      <c r="J218" s="2"/>
      <c r="K218" s="2"/>
    </row>
    <row r="219" spans="1:19">
      <c r="A219" s="7"/>
      <c r="B219" s="8" t="s">
        <v>19</v>
      </c>
      <c r="C219" s="8" t="s">
        <v>18</v>
      </c>
      <c r="D219" s="8" t="s">
        <v>18</v>
      </c>
      <c r="E219" s="8" t="s">
        <v>17</v>
      </c>
      <c r="F219" s="8" t="s">
        <v>17</v>
      </c>
      <c r="G219" s="56" t="s">
        <v>17</v>
      </c>
      <c r="H219" s="29"/>
      <c r="I219" s="2"/>
      <c r="J219" s="2"/>
      <c r="K219" s="2"/>
    </row>
    <row r="220" spans="1:19" hidden="1">
      <c r="A220" s="13" t="s">
        <v>27</v>
      </c>
      <c r="B220" s="60">
        <v>1</v>
      </c>
      <c r="C220" s="60">
        <v>8</v>
      </c>
      <c r="D220" s="31">
        <v>137</v>
      </c>
      <c r="E220" s="59">
        <f>(0.3*0.52*SQRT(C220)*D220^0.9*$B$210^0.8)/1000</f>
        <v>4.3260017012857244</v>
      </c>
      <c r="F220" s="59">
        <f>MIN($C$212*$C$213*D220/1000,(2.3*SQRT($C$211*$C$212*$C$213))/1000+(E220/4),$C$212*$C$213*D220/1000*(SQRT(2+4*$C$211/($C$212*$C$213*D220^2))-1)+E220/4)</f>
        <v>3.482055443506348</v>
      </c>
      <c r="G220" s="59" t="e">
        <f>B220*F220+#REF!*K220</f>
        <v>#REF!</v>
      </c>
      <c r="H220" s="240"/>
      <c r="I220" s="218"/>
      <c r="J220" s="110"/>
      <c r="K220" s="110"/>
    </row>
    <row r="221" spans="1:19" hidden="1">
      <c r="A221" s="41" t="s">
        <v>28</v>
      </c>
      <c r="B221" s="60">
        <v>1</v>
      </c>
      <c r="C221" s="60">
        <v>8</v>
      </c>
      <c r="D221" s="31">
        <v>137</v>
      </c>
      <c r="E221" s="59">
        <f t="shared" ref="E221:E227" si="83">(0.3*0.52*SQRT(C221)*D221^0.9*$B$210^0.8)/1000</f>
        <v>4.3260017012857244</v>
      </c>
      <c r="F221" s="59">
        <f>MIN($C$212*$C$213*D221/1000,(2.3*SQRT($C$211*$C$212*$C$213))/1000+(E221/4),$C$212*$C$213*D221/1000*(SQRT(2+4*$C$211/($C$212*$C$213*D221^2))-1)+E221/4)</f>
        <v>3.482055443506348</v>
      </c>
      <c r="G221" s="59" t="e">
        <f>B221*F221+#REF!*K221</f>
        <v>#REF!</v>
      </c>
      <c r="H221" s="240"/>
      <c r="I221" s="218"/>
      <c r="J221" s="110"/>
      <c r="K221" s="110"/>
    </row>
    <row r="222" spans="1:19" hidden="1">
      <c r="A222" s="13" t="s">
        <v>29</v>
      </c>
      <c r="B222" s="60">
        <v>1</v>
      </c>
      <c r="C222" s="60">
        <v>8</v>
      </c>
      <c r="D222" s="31">
        <v>137</v>
      </c>
      <c r="E222" s="59">
        <f t="shared" si="83"/>
        <v>4.3260017012857244</v>
      </c>
      <c r="F222" s="59">
        <f>MIN($C$212*$C$213*D222/1000,(2.3*SQRT($C$211*$C$212*$C$213))/1000+(E222/4),$C$212*$C$213*D222/1000*(SQRT(2+4*$C$211/($C$212*$C$213*D222^2))-1)+E222/4)</f>
        <v>3.482055443506348</v>
      </c>
      <c r="G222" s="59" t="e">
        <f>B222*F222+#REF!*K222</f>
        <v>#REF!</v>
      </c>
      <c r="H222" s="240"/>
      <c r="I222" s="218"/>
      <c r="J222" s="110"/>
      <c r="K222" s="110"/>
      <c r="P222"/>
      <c r="Q222"/>
      <c r="R222"/>
      <c r="S222"/>
    </row>
    <row r="223" spans="1:19" hidden="1">
      <c r="A223" s="41" t="s">
        <v>30</v>
      </c>
      <c r="B223" s="60">
        <v>1</v>
      </c>
      <c r="C223" s="60">
        <v>8</v>
      </c>
      <c r="D223" s="31">
        <v>137</v>
      </c>
      <c r="E223" s="59">
        <f t="shared" si="83"/>
        <v>4.3260017012857244</v>
      </c>
      <c r="F223" s="59">
        <f>MIN($C$212*$C$213*D223/1000,(2.3*SQRT($C$211*$C$212*$C$213))/1000+(E223/4),$C$212*$C$213*D223/1000*(SQRT(2+4*$C$211/($C$212*$C$213*D223^2))-1)+E223/4)</f>
        <v>3.482055443506348</v>
      </c>
      <c r="G223" s="59" t="e">
        <f>B223*F223+#REF!*K223</f>
        <v>#REF!</v>
      </c>
      <c r="H223" s="240"/>
      <c r="I223" s="218"/>
      <c r="J223" s="110"/>
      <c r="K223" s="110"/>
      <c r="P223"/>
      <c r="Q223"/>
      <c r="R223"/>
      <c r="S223"/>
    </row>
    <row r="224" spans="1:19" hidden="1">
      <c r="A224" s="13" t="s">
        <v>31</v>
      </c>
      <c r="B224" s="60">
        <v>1</v>
      </c>
      <c r="C224" s="60">
        <v>10</v>
      </c>
      <c r="D224" s="31">
        <v>175</v>
      </c>
      <c r="E224" s="59">
        <f t="shared" si="83"/>
        <v>6.0287520940422592</v>
      </c>
      <c r="F224" s="59">
        <f>MIN($B$212*$B$213*D224/1000,(2.3*SQRT($B$211*$B$212*$B$213))/1000+(E224/4),$B$212*$B$213*D224/1000*(SQRT(2+4*$B$211/($B$212*$B$213*D224^2))-1)+E224/4)</f>
        <v>4.9407840119298001</v>
      </c>
      <c r="G224" s="59" t="e">
        <f>B224*F224+#REF!*K224</f>
        <v>#REF!</v>
      </c>
      <c r="H224" s="240"/>
      <c r="I224" s="218"/>
      <c r="J224" s="110"/>
      <c r="K224" s="110"/>
      <c r="P224"/>
      <c r="Q224"/>
      <c r="R224"/>
      <c r="S224"/>
    </row>
    <row r="225" spans="1:19" hidden="1">
      <c r="A225" s="41" t="s">
        <v>32</v>
      </c>
      <c r="B225" s="60">
        <v>1</v>
      </c>
      <c r="C225" s="60">
        <v>10</v>
      </c>
      <c r="D225" s="31">
        <v>175</v>
      </c>
      <c r="E225" s="59">
        <f t="shared" si="83"/>
        <v>6.0287520940422592</v>
      </c>
      <c r="F225" s="59">
        <f>MIN($B$212*$B$213*D225/1000,(2.3*SQRT($B$211*$B$212*$B$213))/1000+(E225/4),$B$212*$B$213*D225/1000*(SQRT(2+4*$B$211/($B$212*$B$213*D225^2))-1)+E225/4)</f>
        <v>4.9407840119298001</v>
      </c>
      <c r="G225" s="59" t="e">
        <f>B225*F225+#REF!*K225</f>
        <v>#REF!</v>
      </c>
      <c r="H225" s="240"/>
      <c r="I225" s="218"/>
      <c r="J225" s="110"/>
      <c r="K225" s="110"/>
      <c r="P225"/>
      <c r="Q225"/>
      <c r="R225"/>
      <c r="S225"/>
    </row>
    <row r="226" spans="1:19" hidden="1">
      <c r="A226" s="41" t="s">
        <v>33</v>
      </c>
      <c r="B226" s="60">
        <v>1</v>
      </c>
      <c r="C226" s="60">
        <v>10</v>
      </c>
      <c r="D226" s="31">
        <v>175</v>
      </c>
      <c r="E226" s="59">
        <f t="shared" si="83"/>
        <v>6.0287520940422592</v>
      </c>
      <c r="F226" s="59">
        <f>MIN($B$212*$B$213*D226/1000,(2.3*SQRT($B$211*$B$212*$B$213))/1000+(E226/4),$B$212*$B$213*D226/1000*(SQRT(2+4*$B$211/($B$212*$B$213*D226^2))-1)+E226/4)</f>
        <v>4.9407840119298001</v>
      </c>
      <c r="G226" s="59" t="e">
        <f>B226*F226+#REF!*K226</f>
        <v>#REF!</v>
      </c>
      <c r="H226" s="240"/>
      <c r="I226" s="218"/>
      <c r="J226" s="110"/>
      <c r="K226" s="110"/>
      <c r="P226"/>
      <c r="Q226"/>
      <c r="R226"/>
      <c r="S226"/>
    </row>
    <row r="227" spans="1:19" hidden="1">
      <c r="A227" s="13" t="s">
        <v>34</v>
      </c>
      <c r="B227" s="60">
        <v>1</v>
      </c>
      <c r="C227" s="60">
        <v>10</v>
      </c>
      <c r="D227" s="31">
        <v>175</v>
      </c>
      <c r="E227" s="59">
        <f t="shared" si="83"/>
        <v>6.0287520940422592</v>
      </c>
      <c r="F227" s="59">
        <f>MIN($B$212*$B$213*D227/1000,(2.3*SQRT($B$211*$B$212*$B$213))/1000+(E227/4),$B$212*$B$213*D227/1000*(SQRT(2+4*$B$211/($B$212*$B$213*D227^2))-1)+E227/4)</f>
        <v>4.9407840119298001</v>
      </c>
      <c r="G227" s="59" t="e">
        <f>B227*F227+#REF!*K227</f>
        <v>#REF!</v>
      </c>
      <c r="H227" s="240"/>
      <c r="I227" s="218"/>
      <c r="J227" s="110"/>
      <c r="K227" s="110"/>
      <c r="P227"/>
      <c r="Q227"/>
      <c r="R227"/>
      <c r="S227"/>
    </row>
    <row r="228" spans="1:19" ht="45">
      <c r="A228" s="269" t="s">
        <v>1024</v>
      </c>
      <c r="B228" s="57">
        <v>7</v>
      </c>
      <c r="C228" s="57">
        <v>8</v>
      </c>
      <c r="D228" s="212">
        <f>160-15</f>
        <v>145</v>
      </c>
      <c r="E228" s="58">
        <f t="shared" ref="E228:E237" si="84">($E$238*0.52*SQRT(C228)*D228^0.9*$B$210^0.8)/1000</f>
        <v>9.1054072130615449</v>
      </c>
      <c r="F228" s="58">
        <f t="shared" ref="F228:F233" si="85">MIN($C$212*$C$213*D228/1000,(2.3*SQRT($C$211*$C$212*$C$213))/1000+(E228/4),$C$212*$C$213*D228/1000*(SQRT(2+4*$C$211/($C$212*$C$213*D228^2))-1)+E228/4)</f>
        <v>4.6769068214503031</v>
      </c>
      <c r="G228" s="58">
        <f t="shared" ref="G228" si="86">B228^0.9*F228</f>
        <v>26.949266771153084</v>
      </c>
      <c r="H228" s="196" t="s">
        <v>296</v>
      </c>
      <c r="I228" s="218"/>
      <c r="J228" s="110"/>
      <c r="K228" s="110"/>
      <c r="P228"/>
      <c r="Q228"/>
      <c r="R228"/>
      <c r="S228"/>
    </row>
    <row r="229" spans="1:19" ht="45">
      <c r="A229" s="269" t="s">
        <v>1025</v>
      </c>
      <c r="B229" s="57">
        <v>10</v>
      </c>
      <c r="C229" s="57">
        <v>8</v>
      </c>
      <c r="D229" s="212">
        <f>160-15</f>
        <v>145</v>
      </c>
      <c r="E229" s="58">
        <f t="shared" si="84"/>
        <v>9.1054072130615449</v>
      </c>
      <c r="F229" s="58">
        <f t="shared" si="85"/>
        <v>4.6769068214503031</v>
      </c>
      <c r="G229" s="58">
        <f t="shared" ref="G229:G237" si="87">B229^0.9*F229</f>
        <v>37.149991394525706</v>
      </c>
      <c r="H229" s="196" t="s">
        <v>296</v>
      </c>
      <c r="I229" s="218"/>
      <c r="K229" s="110"/>
      <c r="P229"/>
      <c r="Q229"/>
      <c r="R229"/>
      <c r="S229"/>
    </row>
    <row r="230" spans="1:19" ht="45">
      <c r="A230" s="224" t="s">
        <v>1026</v>
      </c>
      <c r="B230" s="57">
        <v>10</v>
      </c>
      <c r="C230" s="57">
        <v>8</v>
      </c>
      <c r="D230" s="212">
        <f>240-15</f>
        <v>225</v>
      </c>
      <c r="E230" s="58">
        <f t="shared" si="84"/>
        <v>13.521735531614226</v>
      </c>
      <c r="F230" s="58">
        <f t="shared" si="85"/>
        <v>5.7809889010884739</v>
      </c>
      <c r="G230" s="58">
        <f t="shared" si="87"/>
        <v>45.920027087622728</v>
      </c>
      <c r="H230" s="196" t="s">
        <v>296</v>
      </c>
      <c r="I230" s="218"/>
      <c r="J230" s="110"/>
      <c r="K230" s="110"/>
      <c r="P230"/>
      <c r="Q230"/>
      <c r="R230"/>
      <c r="S230"/>
    </row>
    <row r="231" spans="1:19" ht="45">
      <c r="A231" s="224" t="s">
        <v>1027</v>
      </c>
      <c r="B231" s="57">
        <v>8</v>
      </c>
      <c r="C231" s="57">
        <v>8</v>
      </c>
      <c r="D231" s="212">
        <f>160-15</f>
        <v>145</v>
      </c>
      <c r="E231" s="58">
        <f t="shared" si="84"/>
        <v>9.1054072130615449</v>
      </c>
      <c r="F231" s="58">
        <f t="shared" si="85"/>
        <v>4.6769068214503031</v>
      </c>
      <c r="G231" s="58">
        <f t="shared" ref="G231" si="88">B231^0.9*F231</f>
        <v>30.390630186062658</v>
      </c>
      <c r="H231" s="196" t="s">
        <v>296</v>
      </c>
      <c r="I231" s="218"/>
      <c r="J231" s="110"/>
      <c r="K231" s="110"/>
      <c r="P231"/>
      <c r="Q231"/>
      <c r="R231"/>
      <c r="S231"/>
    </row>
    <row r="232" spans="1:19" ht="45">
      <c r="A232" s="224" t="s">
        <v>1028</v>
      </c>
      <c r="B232" s="57">
        <v>16</v>
      </c>
      <c r="C232" s="57">
        <v>8</v>
      </c>
      <c r="D232" s="212">
        <f>160-15</f>
        <v>145</v>
      </c>
      <c r="E232" s="58">
        <f t="shared" si="84"/>
        <v>9.1054072130615449</v>
      </c>
      <c r="F232" s="58">
        <f t="shared" si="85"/>
        <v>4.6769068214503031</v>
      </c>
      <c r="G232" s="58">
        <f t="shared" si="87"/>
        <v>56.710921194381697</v>
      </c>
      <c r="H232" s="196" t="s">
        <v>296</v>
      </c>
      <c r="I232" s="218"/>
      <c r="J232" s="110"/>
      <c r="K232" s="110"/>
      <c r="P232"/>
      <c r="Q232"/>
      <c r="R232"/>
      <c r="S232"/>
    </row>
    <row r="233" spans="1:19" ht="45">
      <c r="A233" s="224" t="s">
        <v>1029</v>
      </c>
      <c r="B233" s="57">
        <v>16</v>
      </c>
      <c r="C233" s="57">
        <v>8</v>
      </c>
      <c r="D233" s="212">
        <f>240-15</f>
        <v>225</v>
      </c>
      <c r="E233" s="58">
        <f t="shared" si="84"/>
        <v>13.521735531614226</v>
      </c>
      <c r="F233" s="58">
        <f t="shared" si="85"/>
        <v>5.7809889010884739</v>
      </c>
      <c r="G233" s="58">
        <f t="shared" si="87"/>
        <v>70.098725185540317</v>
      </c>
      <c r="H233" s="196" t="s">
        <v>296</v>
      </c>
      <c r="I233" s="218"/>
      <c r="J233" s="110"/>
      <c r="K233" s="110"/>
      <c r="P233"/>
      <c r="Q233"/>
      <c r="R233"/>
      <c r="S233"/>
    </row>
    <row r="234" spans="1:19" ht="45">
      <c r="A234" s="224" t="s">
        <v>1030</v>
      </c>
      <c r="B234" s="57">
        <v>8</v>
      </c>
      <c r="C234" s="57">
        <v>10</v>
      </c>
      <c r="D234" s="212">
        <f>200-20</f>
        <v>180</v>
      </c>
      <c r="E234" s="58">
        <f t="shared" si="84"/>
        <v>12.367115938864831</v>
      </c>
      <c r="F234" s="58">
        <f>MIN($B$212*$B$213*D234/1000,(2.3*SQRT($B$211*$B$212*$B$213))/1000+(E234/4),$B$212*$B$213*D234/1000*(SQRT(2+4*$B$211/($B$212*$B$213*D234^2))-1)+E234/4)</f>
        <v>6.5253749731354436</v>
      </c>
      <c r="G234" s="58">
        <f t="shared" ref="G234" si="89">B234^0.9*F234</f>
        <v>42.402011672418155</v>
      </c>
      <c r="H234" s="196" t="s">
        <v>296</v>
      </c>
      <c r="I234" s="218"/>
      <c r="J234" s="110"/>
      <c r="K234" s="110"/>
      <c r="P234"/>
      <c r="Q234"/>
      <c r="R234"/>
      <c r="S234"/>
    </row>
    <row r="235" spans="1:19" ht="45">
      <c r="A235" s="224" t="s">
        <v>1031</v>
      </c>
      <c r="B235" s="57">
        <v>16</v>
      </c>
      <c r="C235" s="57">
        <v>10</v>
      </c>
      <c r="D235" s="212">
        <f>200-20</f>
        <v>180</v>
      </c>
      <c r="E235" s="58">
        <f t="shared" si="84"/>
        <v>12.367115938864831</v>
      </c>
      <c r="F235" s="58">
        <f>MIN($B$212*$B$213*D235/1000,(2.3*SQRT($B$211*$B$212*$B$213))/1000+(E235/4),$B$212*$B$213*D235/1000*(SQRT(2+4*$B$211/($B$212*$B$213*D235^2))-1)+E235/4)</f>
        <v>6.5253749731354436</v>
      </c>
      <c r="G235" s="58">
        <f t="shared" si="87"/>
        <v>79.124951595789881</v>
      </c>
      <c r="H235" s="196" t="s">
        <v>296</v>
      </c>
      <c r="I235" s="218"/>
      <c r="J235" s="110"/>
      <c r="K235" s="110"/>
      <c r="P235"/>
      <c r="Q235"/>
      <c r="R235"/>
      <c r="S235"/>
    </row>
    <row r="236" spans="1:19" ht="45">
      <c r="A236" s="224" t="s">
        <v>1032</v>
      </c>
      <c r="B236" s="57">
        <v>8</v>
      </c>
      <c r="C236" s="57">
        <v>10</v>
      </c>
      <c r="D236" s="212">
        <f>200-20</f>
        <v>180</v>
      </c>
      <c r="E236" s="58">
        <f t="shared" si="84"/>
        <v>12.367115938864831</v>
      </c>
      <c r="F236" s="58">
        <f>MIN($B$212*$B$213*D236/1000,(2.3*SQRT($B$211*$B$212*$B$213))/1000+(E236/4),$B$212*$B$213*D236/1000*(SQRT(2+4*$B$211/($B$212*$B$213*D236^2))-1)+E236/4)</f>
        <v>6.5253749731354436</v>
      </c>
      <c r="G236" s="58">
        <f t="shared" ref="G236" si="90">B236^0.9*F236</f>
        <v>42.402011672418155</v>
      </c>
      <c r="H236" s="196" t="s">
        <v>296</v>
      </c>
      <c r="I236" s="218"/>
      <c r="J236" s="110"/>
      <c r="K236" s="110"/>
      <c r="P236"/>
      <c r="Q236"/>
      <c r="R236"/>
      <c r="S236"/>
    </row>
    <row r="237" spans="1:19" ht="45">
      <c r="A237" s="224" t="s">
        <v>1033</v>
      </c>
      <c r="B237" s="57">
        <v>20</v>
      </c>
      <c r="C237" s="57">
        <v>10</v>
      </c>
      <c r="D237" s="212">
        <f>200-20</f>
        <v>180</v>
      </c>
      <c r="E237" s="58">
        <f t="shared" si="84"/>
        <v>12.367115938864831</v>
      </c>
      <c r="F237" s="58">
        <f>MIN($B$212*$B$213*D237/1000,(2.3*SQRT($B$211*$B$212*$B$213))/1000+(E237/4),$B$212*$B$213*D237/1000*(SQRT(2+4*$B$211/($B$212*$B$213*D237^2))-1)+E237/4)</f>
        <v>6.5253749731354436</v>
      </c>
      <c r="G237" s="58">
        <f t="shared" si="87"/>
        <v>96.723603718619998</v>
      </c>
      <c r="H237" s="196" t="s">
        <v>296</v>
      </c>
      <c r="I237" s="218"/>
      <c r="J237" s="110"/>
      <c r="K237" s="110"/>
      <c r="P237"/>
      <c r="Q237"/>
      <c r="R237"/>
      <c r="S237"/>
    </row>
    <row r="238" spans="1:19">
      <c r="D238" s="21" t="s">
        <v>294</v>
      </c>
      <c r="E238" s="20">
        <v>0.6</v>
      </c>
    </row>
    <row r="240" spans="1:19" ht="18">
      <c r="A240" s="3" t="s">
        <v>2</v>
      </c>
      <c r="B240" s="4" t="s">
        <v>41</v>
      </c>
      <c r="C240" s="4" t="s">
        <v>9</v>
      </c>
      <c r="D240" s="4" t="s">
        <v>42</v>
      </c>
      <c r="E240" s="4" t="s">
        <v>66</v>
      </c>
      <c r="F240" s="4" t="s">
        <v>67</v>
      </c>
      <c r="G240" s="4" t="s">
        <v>68</v>
      </c>
      <c r="H240" s="29"/>
      <c r="I240" s="2"/>
      <c r="J240" s="2"/>
      <c r="K240" s="2"/>
    </row>
    <row r="241" spans="1:21">
      <c r="A241" s="7"/>
      <c r="B241" s="8" t="s">
        <v>19</v>
      </c>
      <c r="C241" s="8" t="s">
        <v>18</v>
      </c>
      <c r="D241" s="8" t="s">
        <v>18</v>
      </c>
      <c r="E241" s="8" t="s">
        <v>17</v>
      </c>
      <c r="F241" s="8" t="s">
        <v>17</v>
      </c>
      <c r="G241" s="56" t="s">
        <v>17</v>
      </c>
      <c r="H241" s="29"/>
      <c r="I241" s="2"/>
      <c r="J241" s="2"/>
      <c r="K241" s="2"/>
    </row>
    <row r="242" spans="1:21" hidden="1">
      <c r="A242" s="13" t="s">
        <v>27</v>
      </c>
      <c r="B242" s="60">
        <v>1</v>
      </c>
      <c r="C242" s="60">
        <v>8</v>
      </c>
      <c r="D242" s="31">
        <f>80-23</f>
        <v>57</v>
      </c>
      <c r="E242" s="59">
        <f>(0.52*SQRT(C242)*D242^0.9*$B$210^0.8)/1000</f>
        <v>6.5494418543005892</v>
      </c>
      <c r="F242" s="59">
        <f>MIN($C$212*$C$214*D242/1000,(2.3*SQRT($C$211*$C$212*$C$214))/1000+(E242/4),$C$212*$C$214*D242/1000*(SQRT(2+4*$C$211/($C$212*$C$214*D242^2))-1)+E242/4)</f>
        <v>5.3182617456072272</v>
      </c>
      <c r="G242" s="59" t="e">
        <f>B242*F242+#REF!*K242</f>
        <v>#REF!</v>
      </c>
      <c r="H242" s="240"/>
      <c r="I242" s="218"/>
      <c r="J242" s="110"/>
      <c r="K242" s="110"/>
    </row>
    <row r="243" spans="1:21" hidden="1">
      <c r="A243" s="41" t="s">
        <v>28</v>
      </c>
      <c r="B243" s="60">
        <v>1</v>
      </c>
      <c r="C243" s="60">
        <v>8</v>
      </c>
      <c r="D243" s="31">
        <f>80-23</f>
        <v>57</v>
      </c>
      <c r="E243" s="59">
        <f t="shared" ref="E243:E259" si="91">(0.52*SQRT(C243)*D243^0.9*$B$210^0.8)/1000</f>
        <v>6.5494418543005892</v>
      </c>
      <c r="F243" s="59">
        <f>MIN($C$212*$C$214*D243/1000,(2.3*SQRT($C$211*$C$212*$C$214))/1000+(E243/4),$C$212*$C$214*D243/1000*(SQRT(2+4*$C$211/($C$212*$C$214*D243^2))-1)+E243/4)</f>
        <v>5.3182617456072272</v>
      </c>
      <c r="G243" s="59" t="e">
        <f>B243*F243+#REF!*K243</f>
        <v>#REF!</v>
      </c>
      <c r="H243" s="240"/>
      <c r="I243" s="218"/>
      <c r="J243" s="110"/>
      <c r="K243" s="110"/>
    </row>
    <row r="244" spans="1:21" hidden="1">
      <c r="A244" s="13" t="s">
        <v>29</v>
      </c>
      <c r="B244" s="60">
        <v>1</v>
      </c>
      <c r="C244" s="60">
        <v>8</v>
      </c>
      <c r="D244" s="31">
        <f>80-23</f>
        <v>57</v>
      </c>
      <c r="E244" s="59">
        <f t="shared" si="91"/>
        <v>6.5494418543005892</v>
      </c>
      <c r="F244" s="59">
        <f>MIN($C$212*$C$214*D244/1000,(2.3*SQRT($C$211*$C$212*$C$214))/1000+(E244/4),$C$212*$C$214*D244/1000*(SQRT(2+4*$C$211/($C$212*$C$214*D244^2))-1)+E244/4)</f>
        <v>5.3182617456072272</v>
      </c>
      <c r="G244" s="59" t="e">
        <f>B244*F244+#REF!*K244</f>
        <v>#REF!</v>
      </c>
      <c r="H244" s="240"/>
      <c r="I244" s="218"/>
      <c r="J244" s="110"/>
      <c r="K244" s="110"/>
    </row>
    <row r="245" spans="1:21" hidden="1">
      <c r="A245" s="41" t="s">
        <v>30</v>
      </c>
      <c r="B245" s="60">
        <v>1</v>
      </c>
      <c r="C245" s="60">
        <v>8</v>
      </c>
      <c r="D245" s="31">
        <f>80-23</f>
        <v>57</v>
      </c>
      <c r="E245" s="59">
        <f t="shared" si="91"/>
        <v>6.5494418543005892</v>
      </c>
      <c r="F245" s="59">
        <f>MIN($C$212*$C$214*D245/1000,(2.3*SQRT($C$211*$C$212*$C$214))/1000+(E245/4),$C$212*$C$214*D245/1000*(SQRT(2+4*$C$211/($C$212*$C$214*D245^2))-1)+E245/4)</f>
        <v>5.3182617456072272</v>
      </c>
      <c r="G245" s="59" t="e">
        <f>B245*F245+#REF!*K245</f>
        <v>#REF!</v>
      </c>
      <c r="H245" s="240"/>
      <c r="I245" s="218"/>
      <c r="J245" s="110"/>
      <c r="K245" s="110"/>
    </row>
    <row r="246" spans="1:21" hidden="1">
      <c r="A246" s="13" t="s">
        <v>31</v>
      </c>
      <c r="B246" s="60">
        <v>1</v>
      </c>
      <c r="C246" s="60">
        <v>10</v>
      </c>
      <c r="D246" s="31">
        <f>100-25</f>
        <v>75</v>
      </c>
      <c r="E246" s="59">
        <f>(0.52*SQRT(C246)*D246^0.9*$B$210^0.8)/1000</f>
        <v>9.3740456535592109</v>
      </c>
      <c r="F246" s="59">
        <f>MIN($B$212*$B$214*D246/1000,(2.3*SQRT($B$211*$B$212*$B$214))/1000+(E246/4),$B$212*$B$214*D246/1000*(SQRT(2+4*$B$211/($B$212*$B$214*D246^2))-1)+E246/4)</f>
        <v>7.7560268644377199</v>
      </c>
      <c r="G246" s="59" t="e">
        <f>B246*F246+#REF!*K246</f>
        <v>#REF!</v>
      </c>
      <c r="H246" s="240"/>
      <c r="I246" s="218"/>
      <c r="J246" s="110"/>
      <c r="K246" s="110"/>
    </row>
    <row r="247" spans="1:21" hidden="1">
      <c r="A247" s="41" t="s">
        <v>32</v>
      </c>
      <c r="B247" s="60">
        <v>1</v>
      </c>
      <c r="C247" s="60">
        <v>10</v>
      </c>
      <c r="D247" s="31">
        <f>100-25</f>
        <v>75</v>
      </c>
      <c r="E247" s="59">
        <f t="shared" si="91"/>
        <v>9.3740456535592109</v>
      </c>
      <c r="F247" s="59">
        <f>MIN($B$212*$B$214*D247/1000,(2.3*SQRT($B$211*$B$212*$B$214))/1000+(E247/4),$B$212*$B$214*D247/1000*(SQRT(2+4*$B$211/($B$212*$B$214*D247^2))-1)+E247/4)</f>
        <v>7.7560268644377199</v>
      </c>
      <c r="G247" s="59" t="e">
        <f>B247*F247+#REF!*K247</f>
        <v>#REF!</v>
      </c>
      <c r="H247" s="240"/>
      <c r="I247" s="218"/>
      <c r="J247" s="110"/>
      <c r="K247" s="110"/>
    </row>
    <row r="248" spans="1:21" hidden="1">
      <c r="A248" s="41" t="s">
        <v>33</v>
      </c>
      <c r="B248" s="60">
        <v>1</v>
      </c>
      <c r="C248" s="60">
        <v>10</v>
      </c>
      <c r="D248" s="31">
        <f>100-25</f>
        <v>75</v>
      </c>
      <c r="E248" s="59">
        <f t="shared" si="91"/>
        <v>9.3740456535592109</v>
      </c>
      <c r="F248" s="59">
        <f>MIN($B$212*$B$214*D248/1000,(2.3*SQRT($B$211*$B$212*$B$214))/1000+(E248/4),$B$212*$B$214*D248/1000*(SQRT(2+4*$B$211/($B$212*$B$214*D248^2))-1)+E248/4)</f>
        <v>7.7560268644377199</v>
      </c>
      <c r="G248" s="59" t="e">
        <f>B248*F248+#REF!*K248</f>
        <v>#REF!</v>
      </c>
      <c r="H248" s="240"/>
      <c r="I248" s="218"/>
      <c r="J248" s="110"/>
      <c r="K248" s="110"/>
    </row>
    <row r="249" spans="1:21" hidden="1">
      <c r="A249" s="13" t="s">
        <v>34</v>
      </c>
      <c r="B249" s="60">
        <v>1</v>
      </c>
      <c r="C249" s="60">
        <v>10</v>
      </c>
      <c r="D249" s="31">
        <f>100-25</f>
        <v>75</v>
      </c>
      <c r="E249" s="59">
        <f t="shared" si="91"/>
        <v>9.3740456535592109</v>
      </c>
      <c r="F249" s="59">
        <f>MIN($B$212*$B$214*D249/1000,(2.3*SQRT($B$211*$B$212*$B$214))/1000+(E249/4),$B$212*$B$214*D249/1000*(SQRT(2+4*$B$211/($B$212*$B$214*D249^2))-1)+E249/4)</f>
        <v>7.7560268644377199</v>
      </c>
      <c r="G249" s="59" t="e">
        <f>B249*F249+#REF!*K249</f>
        <v>#REF!</v>
      </c>
      <c r="H249" s="240"/>
      <c r="I249" s="218"/>
      <c r="J249" s="110"/>
      <c r="K249" s="110"/>
    </row>
    <row r="250" spans="1:21" ht="45">
      <c r="A250" s="269" t="s">
        <v>1024</v>
      </c>
      <c r="B250" s="57">
        <v>7</v>
      </c>
      <c r="C250" s="57">
        <v>8</v>
      </c>
      <c r="D250" s="212">
        <f>80-10</f>
        <v>70</v>
      </c>
      <c r="E250" s="58">
        <f t="shared" ref="E250" si="92">(0.52*SQRT(C250)*D250^0.9*$B$210^0.8)/1000</f>
        <v>7.8796178754106014</v>
      </c>
      <c r="F250" s="58">
        <f t="shared" ref="F250:F255" si="93">MIN($C$212*$C$214*D250/1000,(2.3*SQRT($C$211*$C$212*$C$214))/1000+(E250/4),$C$212*$C$214*D250/1000*(SQRT(2+4*$C$211/($C$212*$C$214*D250^2))-1)+E250/4)</f>
        <v>5.7539958910348616</v>
      </c>
      <c r="G250" s="58">
        <f t="shared" ref="G250" si="94">B250^0.9*F250</f>
        <v>33.155668091657937</v>
      </c>
      <c r="H250" s="196" t="s">
        <v>357</v>
      </c>
      <c r="I250" s="218"/>
      <c r="J250" s="110"/>
      <c r="K250" s="110"/>
    </row>
    <row r="251" spans="1:21" ht="45">
      <c r="A251" s="269" t="s">
        <v>1025</v>
      </c>
      <c r="B251" s="57">
        <v>10</v>
      </c>
      <c r="C251" s="57">
        <v>8</v>
      </c>
      <c r="D251" s="212">
        <f>80-10</f>
        <v>70</v>
      </c>
      <c r="E251" s="58">
        <f t="shared" si="91"/>
        <v>7.8796178754106014</v>
      </c>
      <c r="F251" s="58">
        <f t="shared" si="93"/>
        <v>5.7539958910348616</v>
      </c>
      <c r="G251" s="58">
        <f t="shared" ref="G251:G259" si="95">B251^0.9*F251</f>
        <v>45.70561398736492</v>
      </c>
      <c r="H251" s="196" t="s">
        <v>357</v>
      </c>
      <c r="I251" s="218"/>
      <c r="J251" s="110"/>
      <c r="K251" s="110"/>
    </row>
    <row r="252" spans="1:21" ht="45">
      <c r="A252" s="224" t="s">
        <v>1026</v>
      </c>
      <c r="B252" s="57">
        <v>10</v>
      </c>
      <c r="C252" s="57">
        <v>8</v>
      </c>
      <c r="D252" s="212">
        <f t="shared" ref="D252:D255" si="96">80-10</f>
        <v>70</v>
      </c>
      <c r="E252" s="58">
        <f t="shared" si="91"/>
        <v>7.8796178754106014</v>
      </c>
      <c r="F252" s="58">
        <f t="shared" si="93"/>
        <v>5.7539958910348616</v>
      </c>
      <c r="G252" s="58">
        <f t="shared" si="95"/>
        <v>45.70561398736492</v>
      </c>
      <c r="H252" s="196" t="s">
        <v>357</v>
      </c>
      <c r="I252" s="218"/>
      <c r="J252" s="110"/>
      <c r="K252" s="110"/>
      <c r="U252" s="94"/>
    </row>
    <row r="253" spans="1:21" ht="45">
      <c r="A253" s="224" t="s">
        <v>1027</v>
      </c>
      <c r="B253" s="57">
        <v>8</v>
      </c>
      <c r="C253" s="57">
        <v>8</v>
      </c>
      <c r="D253" s="212">
        <f t="shared" si="96"/>
        <v>70</v>
      </c>
      <c r="E253" s="58">
        <f t="shared" ref="E253" si="97">(0.52*SQRT(C253)*D253^0.9*$B$210^0.8)/1000</f>
        <v>7.8796178754106014</v>
      </c>
      <c r="F253" s="58">
        <f t="shared" si="93"/>
        <v>5.7539958910348616</v>
      </c>
      <c r="G253" s="58">
        <f t="shared" ref="G253" si="98">B253^0.9*F253</f>
        <v>37.389575608935985</v>
      </c>
      <c r="H253" s="196" t="s">
        <v>357</v>
      </c>
      <c r="I253" s="218"/>
      <c r="J253" s="110"/>
      <c r="K253" s="110"/>
      <c r="U253" s="94"/>
    </row>
    <row r="254" spans="1:21" ht="45">
      <c r="A254" s="224" t="s">
        <v>1028</v>
      </c>
      <c r="B254" s="57">
        <v>16</v>
      </c>
      <c r="C254" s="57">
        <v>8</v>
      </c>
      <c r="D254" s="212">
        <f t="shared" si="96"/>
        <v>70</v>
      </c>
      <c r="E254" s="58">
        <f t="shared" si="91"/>
        <v>7.8796178754106014</v>
      </c>
      <c r="F254" s="58">
        <f t="shared" si="93"/>
        <v>5.7539958910348616</v>
      </c>
      <c r="G254" s="58">
        <f t="shared" si="95"/>
        <v>69.771415165394387</v>
      </c>
      <c r="H254" s="196" t="s">
        <v>357</v>
      </c>
      <c r="I254" s="218"/>
      <c r="J254" s="110"/>
      <c r="K254" s="110"/>
    </row>
    <row r="255" spans="1:21" ht="45">
      <c r="A255" s="224" t="s">
        <v>1029</v>
      </c>
      <c r="B255" s="57">
        <v>16</v>
      </c>
      <c r="C255" s="57">
        <v>8</v>
      </c>
      <c r="D255" s="212">
        <f t="shared" si="96"/>
        <v>70</v>
      </c>
      <c r="E255" s="58">
        <f t="shared" si="91"/>
        <v>7.8796178754106014</v>
      </c>
      <c r="F255" s="58">
        <f t="shared" si="93"/>
        <v>5.7539958910348616</v>
      </c>
      <c r="G255" s="58">
        <f t="shared" si="95"/>
        <v>69.771415165394387</v>
      </c>
      <c r="H255" s="196" t="s">
        <v>357</v>
      </c>
      <c r="I255" s="218"/>
      <c r="J255" s="110"/>
      <c r="K255" s="110"/>
    </row>
    <row r="256" spans="1:21" ht="45">
      <c r="A256" s="224" t="s">
        <v>1030</v>
      </c>
      <c r="B256" s="57">
        <v>8</v>
      </c>
      <c r="C256" s="57">
        <v>10</v>
      </c>
      <c r="D256" s="212">
        <f>100-15</f>
        <v>85</v>
      </c>
      <c r="E256" s="58">
        <f t="shared" ref="E256" si="99">(0.52*SQRT(C256)*D256^0.9*$B$210^0.8)/1000</f>
        <v>10.491774806064372</v>
      </c>
      <c r="F256" s="58">
        <f>MIN($B$212*$B$214*D256/1000,(2.3*SQRT($B$211*$B$212*$B$214))/1000+(E256/4),$B$212*$B$214*D256/1000*(SQRT(2+4*$B$211/($B$212*$B$214*D256^2))-1)+E256/4)</f>
        <v>8.0354591525640107</v>
      </c>
      <c r="G256" s="58">
        <f t="shared" ref="G256" si="100">B256^0.9*F256</f>
        <v>52.214567619942095</v>
      </c>
      <c r="H256" s="196" t="s">
        <v>357</v>
      </c>
      <c r="I256" s="218"/>
      <c r="J256" s="110"/>
      <c r="K256" s="110"/>
    </row>
    <row r="257" spans="1:21" ht="45">
      <c r="A257" s="224" t="s">
        <v>1031</v>
      </c>
      <c r="B257" s="57">
        <v>16</v>
      </c>
      <c r="C257" s="57">
        <v>10</v>
      </c>
      <c r="D257" s="212">
        <f>100-15</f>
        <v>85</v>
      </c>
      <c r="E257" s="58">
        <f t="shared" si="91"/>
        <v>10.491774806064372</v>
      </c>
      <c r="F257" s="58">
        <f>MIN($B$212*$B$214*D257/1000,(2.3*SQRT($B$211*$B$212*$B$214))/1000+(E257/4),$B$212*$B$214*D257/1000*(SQRT(2+4*$B$211/($B$212*$B$214*D257^2))-1)+E257/4)</f>
        <v>8.0354591525640107</v>
      </c>
      <c r="G257" s="58">
        <f t="shared" si="95"/>
        <v>97.435828456471</v>
      </c>
      <c r="H257" s="196" t="s">
        <v>357</v>
      </c>
      <c r="I257" s="218"/>
      <c r="J257" s="110"/>
      <c r="K257" s="110"/>
    </row>
    <row r="258" spans="1:21" ht="45">
      <c r="A258" s="224" t="s">
        <v>1032</v>
      </c>
      <c r="B258" s="57">
        <v>8</v>
      </c>
      <c r="C258" s="57">
        <v>10</v>
      </c>
      <c r="D258" s="212">
        <f>100-15</f>
        <v>85</v>
      </c>
      <c r="E258" s="58">
        <f t="shared" ref="E258" si="101">(0.52*SQRT(C258)*D258^0.9*$B$210^0.8)/1000</f>
        <v>10.491774806064372</v>
      </c>
      <c r="F258" s="58">
        <f>MIN($B$212*$B$214*D258/1000,(2.3*SQRT($B$211*$B$212*$B$214))/1000+(E258/4),$B$212*$B$214*D258/1000*(SQRT(2+4*$B$211/($B$212*$B$214*D258^2))-1)+E258/4)</f>
        <v>8.0354591525640107</v>
      </c>
      <c r="G258" s="58">
        <f t="shared" ref="G258" si="102">B258^0.9*F258</f>
        <v>52.214567619942095</v>
      </c>
      <c r="H258" s="196" t="s">
        <v>357</v>
      </c>
      <c r="I258" s="218"/>
      <c r="J258" s="110"/>
      <c r="K258" s="110"/>
    </row>
    <row r="259" spans="1:21" ht="45">
      <c r="A259" s="224" t="s">
        <v>1033</v>
      </c>
      <c r="B259" s="57">
        <v>20</v>
      </c>
      <c r="C259" s="57">
        <v>10</v>
      </c>
      <c r="D259" s="212">
        <f>100-15</f>
        <v>85</v>
      </c>
      <c r="E259" s="58">
        <f t="shared" si="91"/>
        <v>10.491774806064372</v>
      </c>
      <c r="F259" s="58">
        <f>MIN($B$212*$B$214*D259/1000,(2.3*SQRT($B$211*$B$212*$B$214))/1000+(E259/4),$B$212*$B$214*D259/1000*(SQRT(2+4*$B$211/($B$212*$B$214*D259^2))-1)+E259/4)</f>
        <v>8.0354591525640107</v>
      </c>
      <c r="G259" s="58">
        <f t="shared" si="95"/>
        <v>119.10711184713817</v>
      </c>
      <c r="H259" s="196" t="s">
        <v>357</v>
      </c>
      <c r="I259" s="218"/>
      <c r="J259" s="110"/>
      <c r="K259" s="110"/>
    </row>
    <row r="262" spans="1:21">
      <c r="B262" s="71"/>
      <c r="F262" t="s">
        <v>69</v>
      </c>
    </row>
    <row r="263" spans="1:21" ht="18">
      <c r="A263" s="3" t="s">
        <v>2</v>
      </c>
      <c r="B263" s="72" t="s">
        <v>58</v>
      </c>
      <c r="C263" s="72" t="s">
        <v>70</v>
      </c>
      <c r="D263" s="4" t="s">
        <v>71</v>
      </c>
      <c r="E263" s="72" t="s">
        <v>72</v>
      </c>
      <c r="F263" s="73" t="s">
        <v>81</v>
      </c>
      <c r="G263" s="74"/>
      <c r="O263" s="3" t="s">
        <v>2</v>
      </c>
      <c r="P263" s="664" t="s">
        <v>74</v>
      </c>
      <c r="Q263" s="665"/>
      <c r="R263" s="665"/>
      <c r="S263" s="665"/>
      <c r="T263" s="666"/>
    </row>
    <row r="264" spans="1:21">
      <c r="A264" s="7"/>
      <c r="B264" s="75" t="s">
        <v>17</v>
      </c>
      <c r="C264" s="76" t="s">
        <v>17</v>
      </c>
      <c r="D264" s="8" t="s">
        <v>75</v>
      </c>
      <c r="E264" s="76" t="s">
        <v>17</v>
      </c>
      <c r="F264" s="77" t="s">
        <v>17</v>
      </c>
      <c r="G264" s="74"/>
      <c r="O264" s="7"/>
      <c r="P264" s="95">
        <v>0.6</v>
      </c>
      <c r="Q264" s="95">
        <v>0.7</v>
      </c>
      <c r="R264" s="95">
        <v>0.8</v>
      </c>
      <c r="S264" s="95">
        <v>0.9</v>
      </c>
      <c r="T264" s="95">
        <v>1</v>
      </c>
      <c r="U264" s="2"/>
    </row>
    <row r="265" spans="1:21" hidden="1">
      <c r="A265" s="13" t="s">
        <v>27</v>
      </c>
      <c r="B265" s="59" t="e">
        <f t="shared" ref="B265:B273" si="103">G220</f>
        <v>#REF!</v>
      </c>
      <c r="C265" s="59">
        <v>34</v>
      </c>
      <c r="D265" s="96">
        <v>10.7</v>
      </c>
      <c r="E265" s="59" t="e">
        <f t="shared" ref="E265:E275" si="104">1/SQRT((1/G242)^2+(1/(D265*E242))^2)</f>
        <v>#REF!</v>
      </c>
      <c r="F265" s="97" t="e">
        <f>MIN(B265,E265)</f>
        <v>#REF!</v>
      </c>
      <c r="G265" s="80"/>
      <c r="N265" s="94"/>
      <c r="O265" s="13" t="s">
        <v>27</v>
      </c>
      <c r="P265" s="81" t="e">
        <f>MIN(P$264*$B265/1.3,$C265/1,P$264*$E265/1.3)</f>
        <v>#REF!</v>
      </c>
      <c r="Q265" s="81" t="e">
        <f>MIN(Q$264*$B265/1.3,$C265/1,Q$264*$E265/1.3)</f>
        <v>#REF!</v>
      </c>
      <c r="R265" s="81" t="e">
        <f>MIN(R$264*$B265/1.3,$C265/1,R$264*$E265/1.3)</f>
        <v>#REF!</v>
      </c>
      <c r="S265" s="81" t="e">
        <f>MIN(S$264*$B265/1.3,$C265/1,S$264*$E265/1.3)</f>
        <v>#REF!</v>
      </c>
      <c r="T265" s="81" t="e">
        <f>MIN(T$264*$B265/1.3,$C265/1,T$264*$E265/1.3)</f>
        <v>#REF!</v>
      </c>
    </row>
    <row r="266" spans="1:21" hidden="1">
      <c r="A266" s="41" t="s">
        <v>28</v>
      </c>
      <c r="B266" s="59" t="e">
        <f t="shared" si="103"/>
        <v>#REF!</v>
      </c>
      <c r="C266" s="59">
        <v>34</v>
      </c>
      <c r="D266" s="96">
        <v>18.3</v>
      </c>
      <c r="E266" s="59" t="e">
        <f t="shared" si="104"/>
        <v>#REF!</v>
      </c>
      <c r="F266" s="97" t="e">
        <f t="shared" ref="F266:F282" si="105">MIN(B266,E266)</f>
        <v>#REF!</v>
      </c>
      <c r="G266" s="80"/>
      <c r="N266" s="94"/>
      <c r="O266" s="41" t="s">
        <v>28</v>
      </c>
      <c r="P266" s="81" t="e">
        <f t="shared" ref="P266:T282" si="106">MIN(P$264*$B266/1.3,$C266/1,P$264*$E266/1.3)</f>
        <v>#REF!</v>
      </c>
      <c r="Q266" s="81" t="e">
        <f t="shared" si="106"/>
        <v>#REF!</v>
      </c>
      <c r="R266" s="81" t="e">
        <f t="shared" si="106"/>
        <v>#REF!</v>
      </c>
      <c r="S266" s="81" t="e">
        <f t="shared" si="106"/>
        <v>#REF!</v>
      </c>
      <c r="T266" s="81" t="e">
        <f t="shared" si="106"/>
        <v>#REF!</v>
      </c>
    </row>
    <row r="267" spans="1:21" hidden="1">
      <c r="A267" s="13" t="s">
        <v>29</v>
      </c>
      <c r="B267" s="59" t="e">
        <f t="shared" si="103"/>
        <v>#REF!</v>
      </c>
      <c r="C267" s="59">
        <v>34</v>
      </c>
      <c r="D267" s="96">
        <v>27.8</v>
      </c>
      <c r="E267" s="59" t="e">
        <f t="shared" si="104"/>
        <v>#REF!</v>
      </c>
      <c r="F267" s="97" t="e">
        <f t="shared" si="105"/>
        <v>#REF!</v>
      </c>
      <c r="G267" s="80"/>
      <c r="N267" s="94"/>
      <c r="O267" s="13" t="s">
        <v>29</v>
      </c>
      <c r="P267" s="81" t="e">
        <f t="shared" si="106"/>
        <v>#REF!</v>
      </c>
      <c r="Q267" s="81" t="e">
        <f t="shared" si="106"/>
        <v>#REF!</v>
      </c>
      <c r="R267" s="81" t="e">
        <f t="shared" si="106"/>
        <v>#REF!</v>
      </c>
      <c r="S267" s="81" t="e">
        <f t="shared" si="106"/>
        <v>#REF!</v>
      </c>
      <c r="T267" s="81" t="e">
        <f t="shared" si="106"/>
        <v>#REF!</v>
      </c>
    </row>
    <row r="268" spans="1:21" hidden="1">
      <c r="A268" s="41" t="s">
        <v>30</v>
      </c>
      <c r="B268" s="59" t="e">
        <f t="shared" si="103"/>
        <v>#REF!</v>
      </c>
      <c r="C268" s="59">
        <v>34</v>
      </c>
      <c r="D268" s="96">
        <v>39.299999999999997</v>
      </c>
      <c r="E268" s="59" t="e">
        <f t="shared" si="104"/>
        <v>#REF!</v>
      </c>
      <c r="F268" s="97" t="e">
        <f t="shared" si="105"/>
        <v>#REF!</v>
      </c>
      <c r="G268" s="80"/>
      <c r="N268" s="94"/>
      <c r="O268" s="41" t="s">
        <v>30</v>
      </c>
      <c r="P268" s="81" t="e">
        <f t="shared" si="106"/>
        <v>#REF!</v>
      </c>
      <c r="Q268" s="81" t="e">
        <f t="shared" si="106"/>
        <v>#REF!</v>
      </c>
      <c r="R268" s="81" t="e">
        <f t="shared" si="106"/>
        <v>#REF!</v>
      </c>
      <c r="S268" s="81" t="e">
        <f t="shared" si="106"/>
        <v>#REF!</v>
      </c>
      <c r="T268" s="81" t="e">
        <f t="shared" si="106"/>
        <v>#REF!</v>
      </c>
    </row>
    <row r="269" spans="1:21" hidden="1">
      <c r="A269" s="13" t="s">
        <v>31</v>
      </c>
      <c r="B269" s="59" t="e">
        <f t="shared" si="103"/>
        <v>#REF!</v>
      </c>
      <c r="C269" s="59">
        <v>50</v>
      </c>
      <c r="D269" s="96">
        <v>27.8</v>
      </c>
      <c r="E269" s="59" t="e">
        <f t="shared" si="104"/>
        <v>#REF!</v>
      </c>
      <c r="F269" s="97" t="e">
        <f t="shared" si="105"/>
        <v>#REF!</v>
      </c>
      <c r="G269" s="80"/>
      <c r="N269" s="94"/>
      <c r="O269" s="13" t="s">
        <v>31</v>
      </c>
      <c r="P269" s="81" t="e">
        <f t="shared" si="106"/>
        <v>#REF!</v>
      </c>
      <c r="Q269" s="81" t="e">
        <f t="shared" si="106"/>
        <v>#REF!</v>
      </c>
      <c r="R269" s="81" t="e">
        <f t="shared" si="106"/>
        <v>#REF!</v>
      </c>
      <c r="S269" s="81" t="e">
        <f t="shared" si="106"/>
        <v>#REF!</v>
      </c>
      <c r="T269" s="81" t="e">
        <f t="shared" si="106"/>
        <v>#REF!</v>
      </c>
    </row>
    <row r="270" spans="1:21" hidden="1">
      <c r="A270" s="41" t="s">
        <v>32</v>
      </c>
      <c r="B270" s="59" t="e">
        <f t="shared" si="103"/>
        <v>#REF!</v>
      </c>
      <c r="C270" s="59">
        <v>50</v>
      </c>
      <c r="D270" s="96">
        <v>39.299999999999997</v>
      </c>
      <c r="E270" s="59" t="e">
        <f t="shared" si="104"/>
        <v>#REF!</v>
      </c>
      <c r="F270" s="97" t="e">
        <f t="shared" si="105"/>
        <v>#REF!</v>
      </c>
      <c r="G270" s="80"/>
      <c r="N270" s="94"/>
      <c r="O270" s="41" t="s">
        <v>32</v>
      </c>
      <c r="P270" s="81" t="e">
        <f t="shared" si="106"/>
        <v>#REF!</v>
      </c>
      <c r="Q270" s="81" t="e">
        <f t="shared" si="106"/>
        <v>#REF!</v>
      </c>
      <c r="R270" s="81" t="e">
        <f t="shared" si="106"/>
        <v>#REF!</v>
      </c>
      <c r="S270" s="81" t="e">
        <f t="shared" si="106"/>
        <v>#REF!</v>
      </c>
      <c r="T270" s="81" t="e">
        <f t="shared" si="106"/>
        <v>#REF!</v>
      </c>
    </row>
    <row r="271" spans="1:21" hidden="1">
      <c r="A271" s="41" t="s">
        <v>33</v>
      </c>
      <c r="B271" s="59" t="e">
        <f t="shared" si="103"/>
        <v>#REF!</v>
      </c>
      <c r="C271" s="59">
        <v>50</v>
      </c>
      <c r="D271" s="96">
        <v>52.9</v>
      </c>
      <c r="E271" s="59" t="e">
        <f t="shared" si="104"/>
        <v>#REF!</v>
      </c>
      <c r="F271" s="97" t="e">
        <f t="shared" si="105"/>
        <v>#REF!</v>
      </c>
      <c r="G271" s="80"/>
      <c r="N271" s="94"/>
      <c r="O271" s="41" t="s">
        <v>33</v>
      </c>
      <c r="P271" s="81" t="e">
        <f t="shared" si="106"/>
        <v>#REF!</v>
      </c>
      <c r="Q271" s="81" t="e">
        <f t="shared" si="106"/>
        <v>#REF!</v>
      </c>
      <c r="R271" s="81" t="e">
        <f t="shared" si="106"/>
        <v>#REF!</v>
      </c>
      <c r="S271" s="81" t="e">
        <f t="shared" si="106"/>
        <v>#REF!</v>
      </c>
      <c r="T271" s="81" t="e">
        <f t="shared" si="106"/>
        <v>#REF!</v>
      </c>
    </row>
    <row r="272" spans="1:21" hidden="1">
      <c r="A272" s="13" t="s">
        <v>34</v>
      </c>
      <c r="B272" s="59" t="e">
        <f t="shared" si="103"/>
        <v>#REF!</v>
      </c>
      <c r="C272" s="59">
        <v>50</v>
      </c>
      <c r="D272" s="96">
        <v>68.400000000000006</v>
      </c>
      <c r="E272" s="59" t="e">
        <f t="shared" si="104"/>
        <v>#REF!</v>
      </c>
      <c r="F272" s="97" t="e">
        <f t="shared" si="105"/>
        <v>#REF!</v>
      </c>
      <c r="G272" s="80"/>
      <c r="N272" s="94"/>
      <c r="O272" s="13" t="s">
        <v>34</v>
      </c>
      <c r="P272" s="81" t="e">
        <f t="shared" si="106"/>
        <v>#REF!</v>
      </c>
      <c r="Q272" s="81" t="e">
        <f t="shared" si="106"/>
        <v>#REF!</v>
      </c>
      <c r="R272" s="81" t="e">
        <f t="shared" si="106"/>
        <v>#REF!</v>
      </c>
      <c r="S272" s="81" t="e">
        <f t="shared" si="106"/>
        <v>#REF!</v>
      </c>
      <c r="T272" s="81" t="e">
        <f t="shared" si="106"/>
        <v>#REF!</v>
      </c>
    </row>
    <row r="273" spans="1:20" ht="45">
      <c r="A273" s="269" t="s">
        <v>1024</v>
      </c>
      <c r="B273" s="58">
        <f t="shared" si="103"/>
        <v>26.949266771153084</v>
      </c>
      <c r="C273" s="58">
        <v>34</v>
      </c>
      <c r="D273" s="78">
        <v>10.7</v>
      </c>
      <c r="E273" s="58">
        <f t="shared" si="104"/>
        <v>30.855559246041057</v>
      </c>
      <c r="F273" s="79">
        <f>MIN(B273,E273)</f>
        <v>26.949266771153084</v>
      </c>
      <c r="G273" s="80"/>
      <c r="N273" s="94"/>
      <c r="O273" s="269" t="s">
        <v>760</v>
      </c>
      <c r="P273" s="81">
        <f t="shared" si="106"/>
        <v>12.438123125147577</v>
      </c>
      <c r="Q273" s="81">
        <f t="shared" si="106"/>
        <v>14.511143646005506</v>
      </c>
      <c r="R273" s="81">
        <f t="shared" si="106"/>
        <v>16.584164166863435</v>
      </c>
      <c r="S273" s="81">
        <f t="shared" si="106"/>
        <v>18.657184687721365</v>
      </c>
      <c r="T273" s="81">
        <f t="shared" si="106"/>
        <v>20.730205208579296</v>
      </c>
    </row>
    <row r="274" spans="1:20" ht="45">
      <c r="A274" s="269" t="s">
        <v>1025</v>
      </c>
      <c r="B274" s="58">
        <f t="shared" ref="B274:B282" si="107">G229</f>
        <v>37.149991394525706</v>
      </c>
      <c r="C274" s="58">
        <v>34</v>
      </c>
      <c r="D274" s="78">
        <v>10.7</v>
      </c>
      <c r="E274" s="58">
        <f t="shared" si="104"/>
        <v>40.18125965399701</v>
      </c>
      <c r="F274" s="79">
        <f t="shared" si="105"/>
        <v>37.149991394525706</v>
      </c>
      <c r="G274" s="80"/>
      <c r="N274" s="94"/>
      <c r="O274" s="269" t="s">
        <v>756</v>
      </c>
      <c r="P274" s="81">
        <f t="shared" si="106"/>
        <v>17.146149874396478</v>
      </c>
      <c r="Q274" s="81">
        <f t="shared" si="106"/>
        <v>20.003841520129225</v>
      </c>
      <c r="R274" s="81">
        <f t="shared" si="106"/>
        <v>22.861533165861974</v>
      </c>
      <c r="S274" s="81">
        <f t="shared" si="106"/>
        <v>25.719224811594717</v>
      </c>
      <c r="T274" s="81">
        <f t="shared" si="106"/>
        <v>28.576916457327464</v>
      </c>
    </row>
    <row r="275" spans="1:20" ht="45">
      <c r="A275" s="224" t="s">
        <v>1026</v>
      </c>
      <c r="B275" s="58">
        <f t="shared" si="107"/>
        <v>45.920027087622728</v>
      </c>
      <c r="C275" s="58">
        <v>34</v>
      </c>
      <c r="D275" s="78">
        <v>10.7</v>
      </c>
      <c r="E275" s="58">
        <f t="shared" si="104"/>
        <v>40.18125965399701</v>
      </c>
      <c r="F275" s="79">
        <f t="shared" si="105"/>
        <v>40.18125965399701</v>
      </c>
      <c r="G275" s="80"/>
      <c r="N275" s="94"/>
      <c r="O275" s="224" t="s">
        <v>352</v>
      </c>
      <c r="P275" s="81">
        <f t="shared" si="106"/>
        <v>18.545196763383235</v>
      </c>
      <c r="Q275" s="81">
        <f t="shared" si="106"/>
        <v>21.636062890613772</v>
      </c>
      <c r="R275" s="81">
        <f t="shared" si="106"/>
        <v>24.726929017844313</v>
      </c>
      <c r="S275" s="81">
        <f t="shared" si="106"/>
        <v>27.817795145074854</v>
      </c>
      <c r="T275" s="81">
        <f t="shared" si="106"/>
        <v>30.908661272305391</v>
      </c>
    </row>
    <row r="276" spans="1:20" ht="45">
      <c r="A276" s="224" t="s">
        <v>1027</v>
      </c>
      <c r="B276" s="58">
        <f t="shared" si="107"/>
        <v>30.390630186062658</v>
      </c>
      <c r="C276" s="58">
        <v>34</v>
      </c>
      <c r="D276" s="78">
        <v>27.8</v>
      </c>
      <c r="E276" s="58">
        <f t="shared" ref="E276:E282" si="108">1/SQRT((1/G253)^2+(1/(D276*E253))^2)</f>
        <v>36.856539602592946</v>
      </c>
      <c r="F276" s="79">
        <f t="shared" si="105"/>
        <v>30.390630186062658</v>
      </c>
      <c r="G276" s="80"/>
      <c r="N276" s="94"/>
      <c r="O276" s="224" t="s">
        <v>761</v>
      </c>
      <c r="P276" s="81">
        <f t="shared" si="106"/>
        <v>14.026444701259686</v>
      </c>
      <c r="Q276" s="81">
        <f t="shared" si="106"/>
        <v>16.36418548480297</v>
      </c>
      <c r="R276" s="81">
        <f t="shared" si="106"/>
        <v>18.701926268346252</v>
      </c>
      <c r="S276" s="81">
        <f t="shared" si="106"/>
        <v>21.039667051889534</v>
      </c>
      <c r="T276" s="81">
        <f t="shared" si="106"/>
        <v>23.377407835432813</v>
      </c>
    </row>
    <row r="277" spans="1:20" ht="45">
      <c r="A277" s="224" t="s">
        <v>1028</v>
      </c>
      <c r="B277" s="58">
        <f t="shared" si="107"/>
        <v>56.710921194381697</v>
      </c>
      <c r="C277" s="58">
        <v>34</v>
      </c>
      <c r="D277" s="78">
        <v>27.8</v>
      </c>
      <c r="E277" s="58">
        <f t="shared" si="108"/>
        <v>66.480609906200655</v>
      </c>
      <c r="F277" s="79">
        <f t="shared" si="105"/>
        <v>56.710921194381697</v>
      </c>
      <c r="G277" s="80"/>
      <c r="N277" s="94"/>
      <c r="O277" s="224" t="s">
        <v>757</v>
      </c>
      <c r="P277" s="81">
        <f t="shared" si="106"/>
        <v>26.174271320483861</v>
      </c>
      <c r="Q277" s="81">
        <f t="shared" si="106"/>
        <v>30.536649873897833</v>
      </c>
      <c r="R277" s="81">
        <f t="shared" si="106"/>
        <v>34</v>
      </c>
      <c r="S277" s="81">
        <f t="shared" si="106"/>
        <v>34</v>
      </c>
      <c r="T277" s="81">
        <f t="shared" si="106"/>
        <v>34</v>
      </c>
    </row>
    <row r="278" spans="1:20" ht="45">
      <c r="A278" s="224" t="s">
        <v>1029</v>
      </c>
      <c r="B278" s="58">
        <f t="shared" si="107"/>
        <v>70.098725185540317</v>
      </c>
      <c r="C278" s="58">
        <v>34</v>
      </c>
      <c r="D278" s="78">
        <v>27.8</v>
      </c>
      <c r="E278" s="58">
        <f t="shared" si="108"/>
        <v>66.480609906200655</v>
      </c>
      <c r="F278" s="79">
        <f t="shared" si="105"/>
        <v>66.480609906200655</v>
      </c>
      <c r="G278" s="80"/>
      <c r="N278" s="94"/>
      <c r="O278" s="224" t="s">
        <v>354</v>
      </c>
      <c r="P278" s="81">
        <f t="shared" si="106"/>
        <v>30.683358418246456</v>
      </c>
      <c r="Q278" s="81">
        <f t="shared" si="106"/>
        <v>34</v>
      </c>
      <c r="R278" s="81">
        <f t="shared" si="106"/>
        <v>34</v>
      </c>
      <c r="S278" s="81">
        <f t="shared" si="106"/>
        <v>34</v>
      </c>
      <c r="T278" s="81">
        <f t="shared" si="106"/>
        <v>34</v>
      </c>
    </row>
    <row r="279" spans="1:20" ht="45">
      <c r="A279" s="224" t="s">
        <v>1030</v>
      </c>
      <c r="B279" s="58">
        <f t="shared" si="107"/>
        <v>42.402011672418155</v>
      </c>
      <c r="C279" s="58">
        <v>50</v>
      </c>
      <c r="D279" s="78">
        <v>27.8</v>
      </c>
      <c r="E279" s="58">
        <f t="shared" si="108"/>
        <v>51.397478851467305</v>
      </c>
      <c r="F279" s="79">
        <f t="shared" si="105"/>
        <v>42.402011672418155</v>
      </c>
      <c r="G279" s="80"/>
      <c r="N279" s="94"/>
      <c r="O279" s="224" t="s">
        <v>762</v>
      </c>
      <c r="P279" s="81">
        <f t="shared" si="106"/>
        <v>19.570159233423762</v>
      </c>
      <c r="Q279" s="81">
        <f t="shared" si="106"/>
        <v>22.831852438994389</v>
      </c>
      <c r="R279" s="81">
        <f t="shared" si="106"/>
        <v>26.093545644565019</v>
      </c>
      <c r="S279" s="81">
        <f t="shared" si="106"/>
        <v>29.355238850135645</v>
      </c>
      <c r="T279" s="81">
        <f t="shared" si="106"/>
        <v>32.616932055706272</v>
      </c>
    </row>
    <row r="280" spans="1:20" ht="31.5" customHeight="1">
      <c r="A280" s="224" t="s">
        <v>1031</v>
      </c>
      <c r="B280" s="58">
        <f t="shared" si="107"/>
        <v>79.124951595789881</v>
      </c>
      <c r="C280" s="58">
        <v>50</v>
      </c>
      <c r="D280" s="78">
        <v>27.8</v>
      </c>
      <c r="E280" s="58">
        <f t="shared" si="108"/>
        <v>92.415567140008505</v>
      </c>
      <c r="F280" s="79">
        <f t="shared" si="105"/>
        <v>79.124951595789881</v>
      </c>
      <c r="G280" s="80"/>
      <c r="N280" s="94"/>
      <c r="O280" s="224" t="s">
        <v>758</v>
      </c>
      <c r="P280" s="81">
        <f t="shared" si="106"/>
        <v>36.519208428826097</v>
      </c>
      <c r="Q280" s="81">
        <f t="shared" si="106"/>
        <v>42.605743166963784</v>
      </c>
      <c r="R280" s="81">
        <f t="shared" si="106"/>
        <v>48.692277905101463</v>
      </c>
      <c r="S280" s="81">
        <f t="shared" si="106"/>
        <v>50</v>
      </c>
      <c r="T280" s="81">
        <f t="shared" si="106"/>
        <v>50</v>
      </c>
    </row>
    <row r="281" spans="1:20" ht="31.5" customHeight="1">
      <c r="A281" s="224" t="s">
        <v>1032</v>
      </c>
      <c r="B281" s="58">
        <f t="shared" si="107"/>
        <v>42.402011672418155</v>
      </c>
      <c r="C281" s="58">
        <v>50</v>
      </c>
      <c r="D281" s="78">
        <v>68.400000000000006</v>
      </c>
      <c r="E281" s="58">
        <f t="shared" si="108"/>
        <v>52.076905395084687</v>
      </c>
      <c r="F281" s="79">
        <f t="shared" si="105"/>
        <v>42.402011672418155</v>
      </c>
      <c r="G281" s="80"/>
      <c r="N281" s="94"/>
      <c r="O281" s="224" t="s">
        <v>763</v>
      </c>
      <c r="P281" s="81">
        <f t="shared" si="106"/>
        <v>19.570159233423762</v>
      </c>
      <c r="Q281" s="81">
        <f t="shared" si="106"/>
        <v>22.831852438994389</v>
      </c>
      <c r="R281" s="81">
        <f t="shared" si="106"/>
        <v>26.093545644565019</v>
      </c>
      <c r="S281" s="81">
        <f t="shared" si="106"/>
        <v>29.355238850135645</v>
      </c>
      <c r="T281" s="81">
        <f t="shared" si="106"/>
        <v>32.616932055706272</v>
      </c>
    </row>
    <row r="282" spans="1:20" ht="30" customHeight="1">
      <c r="A282" s="224" t="s">
        <v>1033</v>
      </c>
      <c r="B282" s="58">
        <f t="shared" si="107"/>
        <v>96.723603718619998</v>
      </c>
      <c r="C282" s="58">
        <v>50</v>
      </c>
      <c r="D282" s="78">
        <v>68.400000000000006</v>
      </c>
      <c r="E282" s="58">
        <f t="shared" si="108"/>
        <v>117.49975668148271</v>
      </c>
      <c r="F282" s="79">
        <f t="shared" si="105"/>
        <v>96.723603718619998</v>
      </c>
      <c r="G282" s="80"/>
      <c r="N282" s="94"/>
      <c r="O282" s="224" t="s">
        <v>759</v>
      </c>
      <c r="P282" s="81">
        <f t="shared" si="106"/>
        <v>44.641663254747691</v>
      </c>
      <c r="Q282" s="81">
        <f t="shared" si="106"/>
        <v>50</v>
      </c>
      <c r="R282" s="81">
        <f t="shared" si="106"/>
        <v>50</v>
      </c>
      <c r="S282" s="81">
        <f t="shared" si="106"/>
        <v>50</v>
      </c>
      <c r="T282" s="81">
        <f t="shared" si="106"/>
        <v>50</v>
      </c>
    </row>
    <row r="285" spans="1:20" ht="18.75">
      <c r="A285" s="50" t="s">
        <v>1258</v>
      </c>
      <c r="D285" s="92"/>
    </row>
    <row r="286" spans="1:20" ht="18.75">
      <c r="A286" s="50"/>
      <c r="D286" s="92"/>
    </row>
    <row r="287" spans="1:20">
      <c r="A287" s="19" t="s">
        <v>35</v>
      </c>
      <c r="B287" t="str">
        <f>'RICON-S'!E40</f>
        <v>GL24h</v>
      </c>
      <c r="D287" s="92"/>
    </row>
    <row r="288" spans="1:20" ht="18">
      <c r="A288" s="21" t="s">
        <v>37</v>
      </c>
      <c r="B288">
        <f>VLOOKUP(B287,V7:W18,2,FALSE)</f>
        <v>385</v>
      </c>
      <c r="C288" t="s">
        <v>38</v>
      </c>
    </row>
    <row r="289" spans="1:19" ht="18">
      <c r="A289" s="21" t="s">
        <v>59</v>
      </c>
      <c r="B289" s="49">
        <v>35000</v>
      </c>
      <c r="C289" s="49">
        <v>20000</v>
      </c>
      <c r="D289" t="s">
        <v>60</v>
      </c>
    </row>
    <row r="290" spans="1:19">
      <c r="A290" s="21" t="s">
        <v>61</v>
      </c>
      <c r="B290" s="49">
        <v>10</v>
      </c>
      <c r="C290" s="49">
        <v>8</v>
      </c>
      <c r="D290" t="s">
        <v>62</v>
      </c>
    </row>
    <row r="291" spans="1:19" ht="18">
      <c r="A291" s="21" t="s">
        <v>63</v>
      </c>
      <c r="B291" s="93">
        <f>0.033*B288*B290^-0.3</f>
        <v>6.3675838032344938</v>
      </c>
      <c r="C291" s="93">
        <f>0.033*B288*C290^-0.3</f>
        <v>6.808440920761802</v>
      </c>
      <c r="D291" t="s">
        <v>64</v>
      </c>
    </row>
    <row r="292" spans="1:19" ht="18">
      <c r="A292" s="21" t="s">
        <v>65</v>
      </c>
      <c r="B292" s="70">
        <f>0.082*B290^-0.3*B288</f>
        <v>15.822480965612984</v>
      </c>
      <c r="C292" s="70">
        <f>0.082*C290^-0.3*B288</f>
        <v>16.917944106135387</v>
      </c>
      <c r="D292" t="s">
        <v>64</v>
      </c>
    </row>
    <row r="294" spans="1:19">
      <c r="D294" s="92"/>
    </row>
    <row r="296" spans="1:19" ht="18">
      <c r="A296" s="3" t="s">
        <v>2</v>
      </c>
      <c r="B296" s="4" t="s">
        <v>41</v>
      </c>
      <c r="C296" s="4" t="s">
        <v>9</v>
      </c>
      <c r="D296" s="4" t="s">
        <v>42</v>
      </c>
      <c r="E296" s="4" t="s">
        <v>56</v>
      </c>
      <c r="F296" s="4" t="s">
        <v>57</v>
      </c>
      <c r="G296" s="4" t="s">
        <v>41</v>
      </c>
      <c r="H296" s="4" t="s">
        <v>9</v>
      </c>
      <c r="I296" s="4" t="s">
        <v>42</v>
      </c>
      <c r="J296" s="4" t="s">
        <v>56</v>
      </c>
      <c r="K296" s="4" t="s">
        <v>57</v>
      </c>
      <c r="L296" s="4" t="s">
        <v>58</v>
      </c>
      <c r="M296" s="29"/>
    </row>
    <row r="297" spans="1:19">
      <c r="A297" s="7"/>
      <c r="B297" s="8" t="s">
        <v>19</v>
      </c>
      <c r="C297" s="8" t="s">
        <v>18</v>
      </c>
      <c r="D297" s="8" t="s">
        <v>18</v>
      </c>
      <c r="E297" s="8" t="s">
        <v>17</v>
      </c>
      <c r="F297" s="8" t="s">
        <v>17</v>
      </c>
      <c r="G297" s="8" t="s">
        <v>19</v>
      </c>
      <c r="H297" s="8" t="s">
        <v>18</v>
      </c>
      <c r="I297" s="8" t="s">
        <v>18</v>
      </c>
      <c r="J297" s="8" t="s">
        <v>17</v>
      </c>
      <c r="K297" s="8" t="s">
        <v>17</v>
      </c>
      <c r="L297" s="56" t="s">
        <v>17</v>
      </c>
      <c r="M297" s="29"/>
    </row>
    <row r="298" spans="1:19" hidden="1">
      <c r="A298" s="13" t="s">
        <v>27</v>
      </c>
      <c r="B298" s="60">
        <v>1</v>
      </c>
      <c r="C298" s="60">
        <v>8</v>
      </c>
      <c r="D298" s="31">
        <v>137</v>
      </c>
      <c r="E298" s="59">
        <f>(0.3*0.52*SQRT(C298)*D298^0.9*$B$206^0.8)/1000</f>
        <v>0</v>
      </c>
      <c r="F298" s="59" t="e">
        <f>MIN($C$208*$C$209*D298/1000,(2.3*SQRT($C$207*$C$208*$C$209))/1000+(E298/4),$C$208*$C$209*D298/1000*(SQRT(2+4*$C$207/($C$208*$C$209*D298^2))-1)+E298/4)</f>
        <v>#DIV/0!</v>
      </c>
      <c r="G298" s="60">
        <v>1</v>
      </c>
      <c r="H298" s="60">
        <v>8</v>
      </c>
      <c r="I298" s="31">
        <v>137</v>
      </c>
      <c r="J298" s="59">
        <f>(0.3*0.52*SQRT(H298)*I298^0.9*$B$206^0.8)/1000</f>
        <v>0</v>
      </c>
      <c r="K298" s="59" t="e">
        <f>MIN($C$208*$C$209*I298/1000,(2.3*SQRT($C$207*$C$208*$C$209))/1000+(J298/4),$C$208*$C$209*I298/1000*(SQRT(2+4*$C$207/($C$208*$C$209*I298^2))-1)+J298/4)</f>
        <v>#DIV/0!</v>
      </c>
      <c r="L298" s="59" t="e">
        <f>B298*F298+#REF!*K298</f>
        <v>#DIV/0!</v>
      </c>
      <c r="M298" s="240"/>
    </row>
    <row r="299" spans="1:19" hidden="1">
      <c r="A299" s="41" t="s">
        <v>28</v>
      </c>
      <c r="B299" s="60">
        <v>1</v>
      </c>
      <c r="C299" s="60">
        <v>8</v>
      </c>
      <c r="D299" s="31">
        <v>137</v>
      </c>
      <c r="E299" s="59">
        <f t="shared" ref="E299:E305" si="109">(0.3*0.52*SQRT(C299)*D299^0.9*$B$206^0.8)/1000</f>
        <v>0</v>
      </c>
      <c r="F299" s="59" t="e">
        <f>MIN($C$208*$C$209*D299/1000,(2.3*SQRT($C$207*$C$208*$C$209))/1000+(E299/4),$C$208*$C$209*D299/1000*(SQRT(2+4*$C$207/($C$208*$C$209*D299^2))-1)+E299/4)</f>
        <v>#DIV/0!</v>
      </c>
      <c r="G299" s="60">
        <v>1</v>
      </c>
      <c r="H299" s="60">
        <v>8</v>
      </c>
      <c r="I299" s="31">
        <v>137</v>
      </c>
      <c r="J299" s="59">
        <f t="shared" ref="J299:J305" si="110">(0.3*0.52*SQRT(H299)*I299^0.9*$B$206^0.8)/1000</f>
        <v>0</v>
      </c>
      <c r="K299" s="59" t="e">
        <f>MIN($C$208*$C$209*I299/1000,(2.3*SQRT($C$207*$C$208*$C$209))/1000+(J299/4),$C$208*$C$209*I299/1000*(SQRT(2+4*$C$207/($C$208*$C$209*I299^2))-1)+J299/4)</f>
        <v>#DIV/0!</v>
      </c>
      <c r="L299" s="59" t="e">
        <f>B299*F299+#REF!*K299</f>
        <v>#DIV/0!</v>
      </c>
      <c r="M299" s="240"/>
    </row>
    <row r="300" spans="1:19" hidden="1">
      <c r="A300" s="13" t="s">
        <v>29</v>
      </c>
      <c r="B300" s="60">
        <v>1</v>
      </c>
      <c r="C300" s="60">
        <v>8</v>
      </c>
      <c r="D300" s="31">
        <v>137</v>
      </c>
      <c r="E300" s="59">
        <f t="shared" si="109"/>
        <v>0</v>
      </c>
      <c r="F300" s="59" t="e">
        <f>MIN($C$208*$C$209*D300/1000,(2.3*SQRT($C$207*$C$208*$C$209))/1000+(E300/4),$C$208*$C$209*D300/1000*(SQRT(2+4*$C$207/($C$208*$C$209*D300^2))-1)+E300/4)</f>
        <v>#DIV/0!</v>
      </c>
      <c r="G300" s="60">
        <v>1</v>
      </c>
      <c r="H300" s="60">
        <v>8</v>
      </c>
      <c r="I300" s="31">
        <v>137</v>
      </c>
      <c r="J300" s="59">
        <f t="shared" si="110"/>
        <v>0</v>
      </c>
      <c r="K300" s="59" t="e">
        <f>MIN($C$208*$C$209*I300/1000,(2.3*SQRT($C$207*$C$208*$C$209))/1000+(J300/4),$C$208*$C$209*I300/1000*(SQRT(2+4*$C$207/($C$208*$C$209*I300^2))-1)+J300/4)</f>
        <v>#DIV/0!</v>
      </c>
      <c r="L300" s="59" t="e">
        <f>B300*F300+#REF!*K300</f>
        <v>#DIV/0!</v>
      </c>
      <c r="M300" s="240"/>
      <c r="P300"/>
      <c r="Q300"/>
      <c r="R300"/>
      <c r="S300"/>
    </row>
    <row r="301" spans="1:19" hidden="1">
      <c r="A301" s="41" t="s">
        <v>30</v>
      </c>
      <c r="B301" s="60">
        <v>1</v>
      </c>
      <c r="C301" s="60">
        <v>8</v>
      </c>
      <c r="D301" s="31">
        <v>137</v>
      </c>
      <c r="E301" s="59">
        <f t="shared" si="109"/>
        <v>0</v>
      </c>
      <c r="F301" s="59" t="e">
        <f>MIN($C$208*$C$209*D301/1000,(2.3*SQRT($C$207*$C$208*$C$209))/1000+(E301/4),$C$208*$C$209*D301/1000*(SQRT(2+4*$C$207/($C$208*$C$209*D301^2))-1)+E301/4)</f>
        <v>#DIV/0!</v>
      </c>
      <c r="G301" s="60">
        <v>1</v>
      </c>
      <c r="H301" s="60">
        <v>8</v>
      </c>
      <c r="I301" s="31">
        <v>137</v>
      </c>
      <c r="J301" s="59">
        <f t="shared" si="110"/>
        <v>0</v>
      </c>
      <c r="K301" s="59" t="e">
        <f>MIN($C$208*$C$209*I301/1000,(2.3*SQRT($C$207*$C$208*$C$209))/1000+(J301/4),$C$208*$C$209*I301/1000*(SQRT(2+4*$C$207/($C$208*$C$209*I301^2))-1)+J301/4)</f>
        <v>#DIV/0!</v>
      </c>
      <c r="L301" s="59" t="e">
        <f>B301*F301+#REF!*K301</f>
        <v>#DIV/0!</v>
      </c>
      <c r="M301" s="240"/>
      <c r="P301"/>
      <c r="Q301"/>
      <c r="R301"/>
      <c r="S301"/>
    </row>
    <row r="302" spans="1:19" hidden="1">
      <c r="A302" s="13" t="s">
        <v>31</v>
      </c>
      <c r="B302" s="60">
        <v>1</v>
      </c>
      <c r="C302" s="60">
        <v>10</v>
      </c>
      <c r="D302" s="31">
        <v>175</v>
      </c>
      <c r="E302" s="59">
        <f t="shared" si="109"/>
        <v>0</v>
      </c>
      <c r="F302" s="59" t="e">
        <f>MIN($B$208*$B$209*D302/1000,(2.3*SQRT($B$207*$B$208*$B$209))/1000+(E302/4),$B$208*$B$209*D302/1000*(SQRT(2+4*$B$207/($B$208*$B$209*D302^2))-1)+E302/4)</f>
        <v>#VALUE!</v>
      </c>
      <c r="G302" s="60">
        <v>1</v>
      </c>
      <c r="H302" s="60">
        <v>10</v>
      </c>
      <c r="I302" s="31">
        <v>175</v>
      </c>
      <c r="J302" s="59">
        <f t="shared" si="110"/>
        <v>0</v>
      </c>
      <c r="K302" s="59" t="e">
        <f>MIN($B$208*$B$209*I302/1000,(2.3*SQRT($B$207*$B$208*$B$209))/1000+(J302/4),$B$208*$B$209*I302/1000*(SQRT(2+4*$B$207/($B$208*$B$209*I302^2))-1)+J302/4)</f>
        <v>#VALUE!</v>
      </c>
      <c r="L302" s="59" t="e">
        <f>B302*F302+#REF!*K302</f>
        <v>#VALUE!</v>
      </c>
      <c r="M302" s="240"/>
      <c r="P302"/>
      <c r="Q302"/>
      <c r="R302"/>
      <c r="S302"/>
    </row>
    <row r="303" spans="1:19" hidden="1">
      <c r="A303" s="41" t="s">
        <v>32</v>
      </c>
      <c r="B303" s="60">
        <v>1</v>
      </c>
      <c r="C303" s="60">
        <v>10</v>
      </c>
      <c r="D303" s="31">
        <v>175</v>
      </c>
      <c r="E303" s="59">
        <f t="shared" si="109"/>
        <v>0</v>
      </c>
      <c r="F303" s="59" t="e">
        <f>MIN($B$208*$B$209*D303/1000,(2.3*SQRT($B$207*$B$208*$B$209))/1000+(E303/4),$B$208*$B$209*D303/1000*(SQRT(2+4*$B$207/($B$208*$B$209*D303^2))-1)+E303/4)</f>
        <v>#VALUE!</v>
      </c>
      <c r="G303" s="60">
        <v>1</v>
      </c>
      <c r="H303" s="60">
        <v>10</v>
      </c>
      <c r="I303" s="31">
        <v>175</v>
      </c>
      <c r="J303" s="59">
        <f t="shared" si="110"/>
        <v>0</v>
      </c>
      <c r="K303" s="59" t="e">
        <f>MIN($B$208*$B$209*I303/1000,(2.3*SQRT($B$207*$B$208*$B$209))/1000+(J303/4),$B$208*$B$209*I303/1000*(SQRT(2+4*$B$207/($B$208*$B$209*I303^2))-1)+J303/4)</f>
        <v>#VALUE!</v>
      </c>
      <c r="L303" s="59" t="e">
        <f>B303*F303+#REF!*K303</f>
        <v>#VALUE!</v>
      </c>
      <c r="M303" s="240"/>
      <c r="P303"/>
      <c r="Q303"/>
      <c r="R303"/>
      <c r="S303"/>
    </row>
    <row r="304" spans="1:19" hidden="1">
      <c r="A304" s="41" t="s">
        <v>33</v>
      </c>
      <c r="B304" s="60">
        <v>1</v>
      </c>
      <c r="C304" s="60">
        <v>10</v>
      </c>
      <c r="D304" s="31">
        <v>175</v>
      </c>
      <c r="E304" s="59">
        <f t="shared" si="109"/>
        <v>0</v>
      </c>
      <c r="F304" s="59" t="e">
        <f>MIN($B$208*$B$209*D304/1000,(2.3*SQRT($B$207*$B$208*$B$209))/1000+(E304/4),$B$208*$B$209*D304/1000*(SQRT(2+4*$B$207/($B$208*$B$209*D304^2))-1)+E304/4)</f>
        <v>#VALUE!</v>
      </c>
      <c r="G304" s="60">
        <v>1</v>
      </c>
      <c r="H304" s="60">
        <v>10</v>
      </c>
      <c r="I304" s="31">
        <v>175</v>
      </c>
      <c r="J304" s="59">
        <f t="shared" si="110"/>
        <v>0</v>
      </c>
      <c r="K304" s="59" t="e">
        <f>MIN($B$208*$B$209*I304/1000,(2.3*SQRT($B$207*$B$208*$B$209))/1000+(J304/4),$B$208*$B$209*I304/1000*(SQRT(2+4*$B$207/($B$208*$B$209*I304^2))-1)+J304/4)</f>
        <v>#VALUE!</v>
      </c>
      <c r="L304" s="59" t="e">
        <f>B304*F304+#REF!*K304</f>
        <v>#VALUE!</v>
      </c>
      <c r="M304" s="240"/>
      <c r="P304"/>
      <c r="Q304"/>
      <c r="R304"/>
      <c r="S304"/>
    </row>
    <row r="305" spans="1:19" hidden="1">
      <c r="A305" s="13" t="s">
        <v>34</v>
      </c>
      <c r="B305" s="60">
        <v>1</v>
      </c>
      <c r="C305" s="60">
        <v>10</v>
      </c>
      <c r="D305" s="31">
        <v>175</v>
      </c>
      <c r="E305" s="59">
        <f t="shared" si="109"/>
        <v>0</v>
      </c>
      <c r="F305" s="59" t="e">
        <f>MIN($B$208*$B$209*D305/1000,(2.3*SQRT($B$207*$B$208*$B$209))/1000+(E305/4),$B$208*$B$209*D305/1000*(SQRT(2+4*$B$207/($B$208*$B$209*D305^2))-1)+E305/4)</f>
        <v>#VALUE!</v>
      </c>
      <c r="G305" s="60">
        <v>1</v>
      </c>
      <c r="H305" s="60">
        <v>10</v>
      </c>
      <c r="I305" s="31">
        <v>175</v>
      </c>
      <c r="J305" s="59">
        <f t="shared" si="110"/>
        <v>0</v>
      </c>
      <c r="K305" s="59" t="e">
        <f>MIN($B$208*$B$209*I305/1000,(2.3*SQRT($B$207*$B$208*$B$209))/1000+(J305/4),$B$208*$B$209*I305/1000*(SQRT(2+4*$B$207/($B$208*$B$209*I305^2))-1)+J305/4)</f>
        <v>#VALUE!</v>
      </c>
      <c r="L305" s="59" t="e">
        <f>B305*F305+#REF!*K305</f>
        <v>#VALUE!</v>
      </c>
      <c r="M305" s="240"/>
      <c r="P305"/>
      <c r="Q305"/>
      <c r="R305"/>
      <c r="S305"/>
    </row>
    <row r="306" spans="1:19" ht="45">
      <c r="A306" s="269" t="s">
        <v>1052</v>
      </c>
      <c r="B306" s="57">
        <v>1</v>
      </c>
      <c r="C306" s="57">
        <v>8</v>
      </c>
      <c r="D306" s="212">
        <f>160-24.5</f>
        <v>135.5</v>
      </c>
      <c r="E306" s="58">
        <f t="shared" ref="E306:E313" si="111">($E$314*0.52*SQRT(C306)*D306^0.9*$B$288^0.8)/1000</f>
        <v>8.5666995727534658</v>
      </c>
      <c r="F306" s="58">
        <f>MIN(C306*$C$291*D306/1000,(2.3*SQRT($C$289*$C$291*C306))/1000+(E306/4),C306*D306*$C$291/1000*(SQRT(2+4*$C$289/($C$291*C306*D306^2))-1)+E306/4)</f>
        <v>4.5422299113732834</v>
      </c>
      <c r="G306" s="57">
        <v>7</v>
      </c>
      <c r="H306" s="57">
        <v>8</v>
      </c>
      <c r="I306" s="212">
        <f>160-15</f>
        <v>145</v>
      </c>
      <c r="J306" s="58">
        <f t="shared" ref="J306:J313" si="112">($E$314*0.52*SQRT(H306)*I306^0.9*$B$288^0.8)/1000</f>
        <v>9.1054072130615449</v>
      </c>
      <c r="K306" s="58">
        <f>MIN(H306*$C$291*I306/1000,(2.3*SQRT($C$289*$C$291*H306))/1000+(J306/4),H306*I306*$C$291/1000*(SQRT(2+4*$C$289/($C$291*H306*I306^2))-1)+J306/4)</f>
        <v>4.6769068214503031</v>
      </c>
      <c r="L306" s="58">
        <f>B306^0.9*F306+G306^0.9*K306</f>
        <v>31.491496682526368</v>
      </c>
      <c r="M306" s="196" t="s">
        <v>357</v>
      </c>
      <c r="P306"/>
      <c r="Q306"/>
      <c r="R306"/>
      <c r="S306"/>
    </row>
    <row r="307" spans="1:19" ht="45">
      <c r="A307" s="224" t="s">
        <v>1053</v>
      </c>
      <c r="B307" s="57">
        <v>1</v>
      </c>
      <c r="C307" s="57">
        <v>8</v>
      </c>
      <c r="D307" s="212">
        <f>240-24.5</f>
        <v>215.5</v>
      </c>
      <c r="E307" s="58">
        <f t="shared" si="111"/>
        <v>13.006807662011697</v>
      </c>
      <c r="F307" s="58">
        <f>MIN(C307*$C$291*D307/1000,(2.3*SQRT($C$289*$C$291*C307))/1000+(E307/4),C307*D307*$C$291/1000*(SQRT(2+4*$C$289/($C$291*C307*D307^2))-1)+E307/4)</f>
        <v>5.6522569336878412</v>
      </c>
      <c r="G307" s="57">
        <v>7</v>
      </c>
      <c r="H307" s="57">
        <v>8</v>
      </c>
      <c r="I307" s="212">
        <f>240-15</f>
        <v>225</v>
      </c>
      <c r="J307" s="58">
        <f t="shared" si="112"/>
        <v>13.521735531614226</v>
      </c>
      <c r="K307" s="58">
        <f>MIN(H307*$C$291*I307/1000,(2.3*SQRT($C$289*$C$291*H307))/1000+(J307/4),H307*I307*$C$291/1000*(SQRT(2+4*$C$289/($C$291*H307*I307^2))-1)+J307/4)</f>
        <v>5.7809889010884739</v>
      </c>
      <c r="L307" s="58">
        <f>B307^0.9*F307+G307^0.9*K307</f>
        <v>38.963464114889931</v>
      </c>
      <c r="M307" s="196" t="s">
        <v>357</v>
      </c>
      <c r="P307"/>
      <c r="Q307"/>
      <c r="R307"/>
      <c r="S307"/>
    </row>
    <row r="308" spans="1:19" ht="45">
      <c r="A308" s="224" t="s">
        <v>1054</v>
      </c>
      <c r="B308" s="57">
        <v>1</v>
      </c>
      <c r="C308" s="57">
        <v>8</v>
      </c>
      <c r="D308" s="212">
        <f t="shared" ref="D308" si="113">160-24.5</f>
        <v>135.5</v>
      </c>
      <c r="E308" s="58">
        <f t="shared" si="111"/>
        <v>8.5666995727534658</v>
      </c>
      <c r="F308" s="58">
        <f>MIN(C308*$C$291*D308/1000,(2.3*SQRT($C$289*$C$291*C308))/1000+(E308/4),C308*D308*$C$291/1000*(SQRT(2+4*$C$289/($C$291*C308*D308^2))-1)+E308/4)</f>
        <v>4.5422299113732834</v>
      </c>
      <c r="G308" s="57">
        <v>8</v>
      </c>
      <c r="H308" s="57">
        <v>8</v>
      </c>
      <c r="I308" s="212">
        <f>160-15</f>
        <v>145</v>
      </c>
      <c r="J308" s="58">
        <f t="shared" si="112"/>
        <v>9.1054072130615449</v>
      </c>
      <c r="K308" s="58">
        <f>MIN(H308*$C$291*I308/1000,(2.3*SQRT($C$289*$C$291*H308))/1000+(J308/4),H308*I308*$C$291/1000*(SQRT(2+4*$C$289/($C$291*H308*I308^2))-1)+J308/4)</f>
        <v>4.6769068214503031</v>
      </c>
      <c r="L308" s="58">
        <f t="shared" ref="L308:L312" si="114">B308^0.9*F308+G308^0.9*K308</f>
        <v>34.932860097435942</v>
      </c>
      <c r="M308" s="196" t="s">
        <v>357</v>
      </c>
      <c r="P308"/>
      <c r="Q308"/>
      <c r="R308"/>
      <c r="S308"/>
    </row>
    <row r="309" spans="1:19" ht="45.75" thickBot="1">
      <c r="A309" s="421" t="s">
        <v>1055</v>
      </c>
      <c r="B309" s="287">
        <v>1</v>
      </c>
      <c r="C309" s="287">
        <v>8</v>
      </c>
      <c r="D309" s="286">
        <f>240-24.5</f>
        <v>215.5</v>
      </c>
      <c r="E309" s="323">
        <f t="shared" si="111"/>
        <v>13.006807662011697</v>
      </c>
      <c r="F309" s="323">
        <f>MIN(C309*$C$291*D309/1000,(2.3*SQRT($C$289*$C$291*C309))/1000+(E309/4),C309*D309*$C$291/1000*(SQRT(2+4*$C$289/($C$291*C309*D309^2))-1)+E309/4)</f>
        <v>5.6522569336878412</v>
      </c>
      <c r="G309" s="287">
        <v>8</v>
      </c>
      <c r="H309" s="287">
        <v>8</v>
      </c>
      <c r="I309" s="286">
        <f>240-15</f>
        <v>225</v>
      </c>
      <c r="J309" s="323">
        <f t="shared" si="112"/>
        <v>13.521735531614226</v>
      </c>
      <c r="K309" s="323">
        <f>MIN(H309*$C$291*I309/1000,(2.3*SQRT($C$289*$C$291*H309))/1000+(J309/4),H309*I309*$C$291/1000*(SQRT(2+4*$C$289/($C$291*H309*I309^2))-1)+J309/4)</f>
        <v>5.7809889010884739</v>
      </c>
      <c r="L309" s="323">
        <f t="shared" ref="L309" si="115">B309^0.9*F309+G309^0.9*K309</f>
        <v>43.217233639431143</v>
      </c>
      <c r="M309" s="196" t="s">
        <v>357</v>
      </c>
      <c r="P309"/>
      <c r="Q309"/>
      <c r="R309"/>
      <c r="S309"/>
    </row>
    <row r="310" spans="1:19" ht="45.75" thickTop="1">
      <c r="A310" s="269" t="s">
        <v>1056</v>
      </c>
      <c r="B310" s="261">
        <v>1</v>
      </c>
      <c r="C310" s="261">
        <v>10</v>
      </c>
      <c r="D310" s="260">
        <f>200-25</f>
        <v>175</v>
      </c>
      <c r="E310" s="325">
        <f t="shared" si="111"/>
        <v>12.057504188084518</v>
      </c>
      <c r="F310" s="325">
        <f>MIN(C310*$B$291*D310/1000,(2.3*SQRT($B$289*$B$291*C310))/1000+(E310/4),C310*D310*$B$291/1000*(SQRT(2+4*$B$289/($B$291*C310*D310^2))-1)+E310/4)</f>
        <v>6.4479720354403653</v>
      </c>
      <c r="G310" s="261">
        <v>8</v>
      </c>
      <c r="H310" s="261">
        <v>10</v>
      </c>
      <c r="I310" s="260">
        <v>180</v>
      </c>
      <c r="J310" s="325">
        <f t="shared" si="112"/>
        <v>12.367115938864831</v>
      </c>
      <c r="K310" s="325">
        <f>MIN(H310*$B$291*I310/1000,(2.3*SQRT($B$289*$B$291*H310))/1000+(J310/4),H310*I310*$B$291/1000*(SQRT(2+4*$B$289/($B$291*H310*I310^2))-1)+J310/4)</f>
        <v>6.5253749731354436</v>
      </c>
      <c r="L310" s="325">
        <f t="shared" si="114"/>
        <v>48.84998370785852</v>
      </c>
      <c r="M310" s="196" t="s">
        <v>357</v>
      </c>
      <c r="P310"/>
      <c r="Q310"/>
      <c r="R310"/>
      <c r="S310"/>
    </row>
    <row r="311" spans="1:19" ht="45">
      <c r="A311" s="224" t="s">
        <v>1057</v>
      </c>
      <c r="B311" s="57">
        <v>1</v>
      </c>
      <c r="C311" s="57">
        <v>10</v>
      </c>
      <c r="D311" s="212">
        <f>300-25</f>
        <v>275</v>
      </c>
      <c r="E311" s="58">
        <f t="shared" si="111"/>
        <v>18.110173128389938</v>
      </c>
      <c r="F311" s="58">
        <f>MIN(C311*$B$291*D311/1000,(2.3*SQRT($B$289*$B$291*C311))/1000+(E311/4),C311*D311*$B$291/1000*(SQRT(2+4*$B$289/($B$291*C311*D311^2))-1)+E311/4)</f>
        <v>7.9611392705167194</v>
      </c>
      <c r="G311" s="57">
        <v>8</v>
      </c>
      <c r="H311" s="57">
        <v>10</v>
      </c>
      <c r="I311" s="212">
        <f>300-20</f>
        <v>280</v>
      </c>
      <c r="J311" s="58">
        <f t="shared" si="112"/>
        <v>18.406253787508255</v>
      </c>
      <c r="K311" s="58">
        <f>MIN(H311*$B$291*I311/1000,(2.3*SQRT($B$289*$B$291*H311))/1000+(J311/4),H311*I311*$B$291/1000*(SQRT(2+4*$B$289/($B$291*H311*I311^2))-1)+J311/4)</f>
        <v>8.0351594352962987</v>
      </c>
      <c r="L311" s="58">
        <f t="shared" ref="L311" si="116">B311^0.9*F311+G311^0.9*K311</f>
        <v>60.173759321907383</v>
      </c>
      <c r="M311" s="196" t="s">
        <v>357</v>
      </c>
      <c r="P311"/>
      <c r="Q311"/>
      <c r="R311"/>
      <c r="S311"/>
    </row>
    <row r="312" spans="1:19" ht="45">
      <c r="A312" s="224" t="s">
        <v>1058</v>
      </c>
      <c r="B312" s="57">
        <v>1</v>
      </c>
      <c r="C312" s="57">
        <v>10</v>
      </c>
      <c r="D312" s="212">
        <f>200-25</f>
        <v>175</v>
      </c>
      <c r="E312" s="58">
        <f t="shared" si="111"/>
        <v>12.057504188084518</v>
      </c>
      <c r="F312" s="58">
        <f>MIN(C312*$B$291*D312/1000,(2.3*SQRT($B$289*$B$291*C312))/1000+(E312/4),C312*D312*$B$291/1000*(SQRT(2+4*$B$289/($B$291*C312*D312^2))-1)+E312/4)</f>
        <v>6.4479720354403653</v>
      </c>
      <c r="G312" s="57">
        <v>8</v>
      </c>
      <c r="H312" s="57">
        <v>10</v>
      </c>
      <c r="I312" s="212">
        <v>180</v>
      </c>
      <c r="J312" s="58">
        <f t="shared" si="112"/>
        <v>12.367115938864831</v>
      </c>
      <c r="K312" s="58">
        <f>MIN(H312*$B$291*I312/1000,(2.3*SQRT($B$289*$B$291*H312))/1000+(J312/4),H312*I312*$B$291/1000*(SQRT(2+4*$B$289/($B$291*H312*I312^2))-1)+J312/4)</f>
        <v>6.5253749731354436</v>
      </c>
      <c r="L312" s="58">
        <f t="shared" si="114"/>
        <v>48.84998370785852</v>
      </c>
      <c r="M312" s="196" t="s">
        <v>357</v>
      </c>
      <c r="P312"/>
      <c r="Q312"/>
      <c r="R312"/>
      <c r="S312"/>
    </row>
    <row r="313" spans="1:19" ht="45">
      <c r="A313" s="224" t="s">
        <v>1059</v>
      </c>
      <c r="B313" s="57">
        <v>1</v>
      </c>
      <c r="C313" s="57">
        <v>10</v>
      </c>
      <c r="D313" s="212">
        <f>300-25</f>
        <v>275</v>
      </c>
      <c r="E313" s="58">
        <f t="shared" si="111"/>
        <v>18.110173128389938</v>
      </c>
      <c r="F313" s="58">
        <f>MIN(C313*$B$291*D313/1000,(2.3*SQRT($B$289*$B$291*C313))/1000+(E313/4),C313*D313*$B$291/1000*(SQRT(2+4*$B$289/($B$291*C313*D313^2))-1)+E313/4)</f>
        <v>7.9611392705167194</v>
      </c>
      <c r="G313" s="57">
        <v>8</v>
      </c>
      <c r="H313" s="57">
        <v>10</v>
      </c>
      <c r="I313" s="212">
        <f>300-20</f>
        <v>280</v>
      </c>
      <c r="J313" s="58">
        <f t="shared" si="112"/>
        <v>18.406253787508255</v>
      </c>
      <c r="K313" s="58">
        <f>MIN(H313*$B$291*I313/1000,(2.3*SQRT($B$289*$B$291*H313))/1000+(J313/4),H313*I313*$B$291/1000*(SQRT(2+4*$B$289/($B$291*H313*I313^2))-1)+J313/4)</f>
        <v>8.0351594352962987</v>
      </c>
      <c r="L313" s="58">
        <f t="shared" ref="L313" si="117">B313^0.9*F313+G313^0.9*K313</f>
        <v>60.173759321907383</v>
      </c>
      <c r="M313" s="196" t="s">
        <v>357</v>
      </c>
      <c r="P313"/>
      <c r="Q313"/>
      <c r="R313"/>
      <c r="S313"/>
    </row>
    <row r="314" spans="1:19">
      <c r="D314" s="21" t="s">
        <v>294</v>
      </c>
      <c r="E314" s="20">
        <v>0.6</v>
      </c>
      <c r="H314" s="196"/>
    </row>
    <row r="315" spans="1:19">
      <c r="H315" s="196"/>
    </row>
    <row r="316" spans="1:19" ht="18">
      <c r="A316" s="3" t="s">
        <v>2</v>
      </c>
      <c r="B316" s="4" t="s">
        <v>41</v>
      </c>
      <c r="C316" s="4" t="s">
        <v>9</v>
      </c>
      <c r="D316" s="4" t="s">
        <v>42</v>
      </c>
      <c r="E316" s="4" t="s">
        <v>66</v>
      </c>
      <c r="F316" s="4" t="s">
        <v>67</v>
      </c>
      <c r="G316" s="4" t="s">
        <v>41</v>
      </c>
      <c r="H316" s="4" t="s">
        <v>9</v>
      </c>
      <c r="I316" s="4" t="s">
        <v>42</v>
      </c>
      <c r="J316" s="4" t="s">
        <v>66</v>
      </c>
      <c r="K316" s="4" t="s">
        <v>67</v>
      </c>
      <c r="L316" s="4" t="s">
        <v>68</v>
      </c>
    </row>
    <row r="317" spans="1:19">
      <c r="A317" s="7"/>
      <c r="B317" s="8" t="s">
        <v>19</v>
      </c>
      <c r="C317" s="8" t="s">
        <v>18</v>
      </c>
      <c r="D317" s="8" t="s">
        <v>18</v>
      </c>
      <c r="E317" s="8" t="s">
        <v>17</v>
      </c>
      <c r="F317" s="8" t="s">
        <v>17</v>
      </c>
      <c r="G317" s="8" t="s">
        <v>19</v>
      </c>
      <c r="H317" s="8" t="s">
        <v>18</v>
      </c>
      <c r="I317" s="8" t="s">
        <v>18</v>
      </c>
      <c r="J317" s="8" t="s">
        <v>17</v>
      </c>
      <c r="K317" s="8" t="s">
        <v>17</v>
      </c>
      <c r="L317" s="56" t="s">
        <v>17</v>
      </c>
      <c r="M317" s="29"/>
    </row>
    <row r="318" spans="1:19" hidden="1">
      <c r="A318" s="13" t="s">
        <v>27</v>
      </c>
      <c r="B318" s="60">
        <v>1</v>
      </c>
      <c r="C318" s="60">
        <v>8</v>
      </c>
      <c r="D318" s="31">
        <f>80-23</f>
        <v>57</v>
      </c>
      <c r="E318" s="59">
        <f>(0.52*SQRT(C318)*D318^0.9*$B$206^0.8)/1000</f>
        <v>0</v>
      </c>
      <c r="F318" s="59" t="e">
        <f>MIN($C$208*$C$210*D318/1000,(2.3*SQRT($C$207*$C$208*$C$210))/1000+(E318/4),$C$208*$C$210*D318/1000*(SQRT(2+4*$C$207/($C$208*$C$210*D318^2))-1)+E318/4)</f>
        <v>#VALUE!</v>
      </c>
      <c r="G318" s="60">
        <v>1</v>
      </c>
      <c r="H318" s="60">
        <v>8</v>
      </c>
      <c r="I318" s="31">
        <f>80-23</f>
        <v>57</v>
      </c>
      <c r="J318" s="59">
        <f>(0.52*SQRT(H318)*I318^0.9*$B$206^0.8)/1000</f>
        <v>0</v>
      </c>
      <c r="K318" s="59" t="e">
        <f>MIN($C$208*$C$210*I318/1000,(2.3*SQRT($C$207*$C$208*$C$210))/1000+(J318/4),$C$208*$C$210*I318/1000*(SQRT(2+4*$C$207/($C$208*$C$210*I318^2))-1)+J318/4)</f>
        <v>#VALUE!</v>
      </c>
      <c r="L318" s="59" t="e">
        <f>B318*F318+#REF!*K318</f>
        <v>#VALUE!</v>
      </c>
      <c r="M318" s="240"/>
    </row>
    <row r="319" spans="1:19" hidden="1">
      <c r="A319" s="41" t="s">
        <v>28</v>
      </c>
      <c r="B319" s="60">
        <v>1</v>
      </c>
      <c r="C319" s="60">
        <v>8</v>
      </c>
      <c r="D319" s="31">
        <f>80-23</f>
        <v>57</v>
      </c>
      <c r="E319" s="59">
        <f t="shared" ref="E319:E321" si="118">(0.52*SQRT(C319)*D319^0.9*$B$206^0.8)/1000</f>
        <v>0</v>
      </c>
      <c r="F319" s="59" t="e">
        <f>MIN($C$208*$C$210*D319/1000,(2.3*SQRT($C$207*$C$208*$C$210))/1000+(E319/4),$C$208*$C$210*D319/1000*(SQRT(2+4*$C$207/($C$208*$C$210*D319^2))-1)+E319/4)</f>
        <v>#VALUE!</v>
      </c>
      <c r="G319" s="60">
        <v>1</v>
      </c>
      <c r="H319" s="60">
        <v>8</v>
      </c>
      <c r="I319" s="31">
        <f>80-23</f>
        <v>57</v>
      </c>
      <c r="J319" s="59">
        <f t="shared" ref="J319:J321" si="119">(0.52*SQRT(H319)*I319^0.9*$B$206^0.8)/1000</f>
        <v>0</v>
      </c>
      <c r="K319" s="59" t="e">
        <f>MIN($C$208*$C$210*I319/1000,(2.3*SQRT($C$207*$C$208*$C$210))/1000+(J319/4),$C$208*$C$210*I319/1000*(SQRT(2+4*$C$207/($C$208*$C$210*I319^2))-1)+J319/4)</f>
        <v>#VALUE!</v>
      </c>
      <c r="L319" s="59" t="e">
        <f>B319*F319+#REF!*K319</f>
        <v>#VALUE!</v>
      </c>
      <c r="M319" s="240"/>
    </row>
    <row r="320" spans="1:19" hidden="1">
      <c r="A320" s="13" t="s">
        <v>29</v>
      </c>
      <c r="B320" s="60">
        <v>1</v>
      </c>
      <c r="C320" s="60">
        <v>8</v>
      </c>
      <c r="D320" s="31">
        <f>80-23</f>
        <v>57</v>
      </c>
      <c r="E320" s="59">
        <f t="shared" si="118"/>
        <v>0</v>
      </c>
      <c r="F320" s="59" t="e">
        <f>MIN($C$208*$C$210*D320/1000,(2.3*SQRT($C$207*$C$208*$C$210))/1000+(E320/4),$C$208*$C$210*D320/1000*(SQRT(2+4*$C$207/($C$208*$C$210*D320^2))-1)+E320/4)</f>
        <v>#VALUE!</v>
      </c>
      <c r="G320" s="60">
        <v>1</v>
      </c>
      <c r="H320" s="60">
        <v>8</v>
      </c>
      <c r="I320" s="31">
        <f>80-23</f>
        <v>57</v>
      </c>
      <c r="J320" s="59">
        <f t="shared" si="119"/>
        <v>0</v>
      </c>
      <c r="K320" s="59" t="e">
        <f>MIN($C$208*$C$210*I320/1000,(2.3*SQRT($C$207*$C$208*$C$210))/1000+(J320/4),$C$208*$C$210*I320/1000*(SQRT(2+4*$C$207/($C$208*$C$210*I320^2))-1)+J320/4)</f>
        <v>#VALUE!</v>
      </c>
      <c r="L320" s="59" t="e">
        <f>B320*F320+#REF!*K320</f>
        <v>#VALUE!</v>
      </c>
      <c r="M320" s="240"/>
    </row>
    <row r="321" spans="1:20" hidden="1">
      <c r="A321" s="41" t="s">
        <v>30</v>
      </c>
      <c r="B321" s="60">
        <v>1</v>
      </c>
      <c r="C321" s="60">
        <v>8</v>
      </c>
      <c r="D321" s="31">
        <f>80-23</f>
        <v>57</v>
      </c>
      <c r="E321" s="59">
        <f t="shared" si="118"/>
        <v>0</v>
      </c>
      <c r="F321" s="59" t="e">
        <f>MIN($C$208*$C$210*D321/1000,(2.3*SQRT($C$207*$C$208*$C$210))/1000+(E321/4),$C$208*$C$210*D321/1000*(SQRT(2+4*$C$207/($C$208*$C$210*D321^2))-1)+E321/4)</f>
        <v>#VALUE!</v>
      </c>
      <c r="G321" s="60">
        <v>1</v>
      </c>
      <c r="H321" s="60">
        <v>8</v>
      </c>
      <c r="I321" s="31">
        <f>80-23</f>
        <v>57</v>
      </c>
      <c r="J321" s="59">
        <f t="shared" si="119"/>
        <v>0</v>
      </c>
      <c r="K321" s="59" t="e">
        <f>MIN($C$208*$C$210*I321/1000,(2.3*SQRT($C$207*$C$208*$C$210))/1000+(J321/4),$C$208*$C$210*I321/1000*(SQRT(2+4*$C$207/($C$208*$C$210*I321^2))-1)+J321/4)</f>
        <v>#VALUE!</v>
      </c>
      <c r="L321" s="59" t="e">
        <f>B321*F321+#REF!*K321</f>
        <v>#VALUE!</v>
      </c>
      <c r="M321" s="240"/>
    </row>
    <row r="322" spans="1:20" hidden="1">
      <c r="A322" s="13" t="s">
        <v>31</v>
      </c>
      <c r="B322" s="60">
        <v>1</v>
      </c>
      <c r="C322" s="60">
        <v>10</v>
      </c>
      <c r="D322" s="31">
        <f>100-25</f>
        <v>75</v>
      </c>
      <c r="E322" s="59">
        <f>(0.52*SQRT(C322)*D322^0.9*$B$206^0.8)/1000</f>
        <v>0</v>
      </c>
      <c r="F322" s="59" t="e">
        <f>MIN($B$208*$B$210*D322/1000,(2.3*SQRT($B$207*$B$208*$B$210))/1000+(E322/4),$B$208*$B$210*D322/1000*(SQRT(2+4*$B$207/($B$208*$B$210*D322^2))-1)+E322/4)</f>
        <v>#DIV/0!</v>
      </c>
      <c r="G322" s="60">
        <v>1</v>
      </c>
      <c r="H322" s="60">
        <v>10</v>
      </c>
      <c r="I322" s="31">
        <f>100-25</f>
        <v>75</v>
      </c>
      <c r="J322" s="59">
        <f>(0.52*SQRT(H322)*I322^0.9*$B$206^0.8)/1000</f>
        <v>0</v>
      </c>
      <c r="K322" s="59" t="e">
        <f>MIN($B$208*$B$210*I322/1000,(2.3*SQRT($B$207*$B$208*$B$210))/1000+(J322/4),$B$208*$B$210*I322/1000*(SQRT(2+4*$B$207/($B$208*$B$210*I322^2))-1)+J322/4)</f>
        <v>#DIV/0!</v>
      </c>
      <c r="L322" s="59" t="e">
        <f>B322*F322+#REF!*K322</f>
        <v>#DIV/0!</v>
      </c>
      <c r="M322" s="240"/>
    </row>
    <row r="323" spans="1:20" hidden="1">
      <c r="A323" s="41" t="s">
        <v>32</v>
      </c>
      <c r="B323" s="60">
        <v>1</v>
      </c>
      <c r="C323" s="60">
        <v>10</v>
      </c>
      <c r="D323" s="31">
        <f>100-25</f>
        <v>75</v>
      </c>
      <c r="E323" s="59">
        <f t="shared" ref="E323:E325" si="120">(0.52*SQRT(C323)*D323^0.9*$B$206^0.8)/1000</f>
        <v>0</v>
      </c>
      <c r="F323" s="59" t="e">
        <f>MIN($B$208*$B$210*D323/1000,(2.3*SQRT($B$207*$B$208*$B$210))/1000+(E323/4),$B$208*$B$210*D323/1000*(SQRT(2+4*$B$207/($B$208*$B$210*D323^2))-1)+E323/4)</f>
        <v>#DIV/0!</v>
      </c>
      <c r="G323" s="60">
        <v>1</v>
      </c>
      <c r="H323" s="60">
        <v>10</v>
      </c>
      <c r="I323" s="31">
        <f>100-25</f>
        <v>75</v>
      </c>
      <c r="J323" s="59">
        <f t="shared" ref="J323:J325" si="121">(0.52*SQRT(H323)*I323^0.9*$B$206^0.8)/1000</f>
        <v>0</v>
      </c>
      <c r="K323" s="59" t="e">
        <f>MIN($B$208*$B$210*I323/1000,(2.3*SQRT($B$207*$B$208*$B$210))/1000+(J323/4),$B$208*$B$210*I323/1000*(SQRT(2+4*$B$207/($B$208*$B$210*I323^2))-1)+J323/4)</f>
        <v>#DIV/0!</v>
      </c>
      <c r="L323" s="59" t="e">
        <f>B323*F323+#REF!*K323</f>
        <v>#DIV/0!</v>
      </c>
      <c r="M323" s="240"/>
    </row>
    <row r="324" spans="1:20" hidden="1">
      <c r="A324" s="41" t="s">
        <v>33</v>
      </c>
      <c r="B324" s="60">
        <v>1</v>
      </c>
      <c r="C324" s="60">
        <v>10</v>
      </c>
      <c r="D324" s="31">
        <f>100-25</f>
        <v>75</v>
      </c>
      <c r="E324" s="59">
        <f t="shared" si="120"/>
        <v>0</v>
      </c>
      <c r="F324" s="59" t="e">
        <f>MIN($B$208*$B$210*D324/1000,(2.3*SQRT($B$207*$B$208*$B$210))/1000+(E324/4),$B$208*$B$210*D324/1000*(SQRT(2+4*$B$207/($B$208*$B$210*D324^2))-1)+E324/4)</f>
        <v>#DIV/0!</v>
      </c>
      <c r="G324" s="60">
        <v>1</v>
      </c>
      <c r="H324" s="60">
        <v>10</v>
      </c>
      <c r="I324" s="31">
        <f>100-25</f>
        <v>75</v>
      </c>
      <c r="J324" s="59">
        <f t="shared" si="121"/>
        <v>0</v>
      </c>
      <c r="K324" s="59" t="e">
        <f>MIN($B$208*$B$210*I324/1000,(2.3*SQRT($B$207*$B$208*$B$210))/1000+(J324/4),$B$208*$B$210*I324/1000*(SQRT(2+4*$B$207/($B$208*$B$210*I324^2))-1)+J324/4)</f>
        <v>#DIV/0!</v>
      </c>
      <c r="L324" s="59" t="e">
        <f>B324*F324+#REF!*K324</f>
        <v>#DIV/0!</v>
      </c>
      <c r="M324" s="240"/>
    </row>
    <row r="325" spans="1:20" hidden="1">
      <c r="A325" s="13" t="s">
        <v>34</v>
      </c>
      <c r="B325" s="60">
        <v>1</v>
      </c>
      <c r="C325" s="60">
        <v>10</v>
      </c>
      <c r="D325" s="31">
        <f>100-25</f>
        <v>75</v>
      </c>
      <c r="E325" s="59">
        <f t="shared" si="120"/>
        <v>0</v>
      </c>
      <c r="F325" s="59" t="e">
        <f>MIN($B$208*$B$210*D325/1000,(2.3*SQRT($B$207*$B$208*$B$210))/1000+(E325/4),$B$208*$B$210*D325/1000*(SQRT(2+4*$B$207/($B$208*$B$210*D325^2))-1)+E325/4)</f>
        <v>#DIV/0!</v>
      </c>
      <c r="G325" s="60">
        <v>1</v>
      </c>
      <c r="H325" s="60">
        <v>10</v>
      </c>
      <c r="I325" s="31">
        <f>100-25</f>
        <v>75</v>
      </c>
      <c r="J325" s="59">
        <f t="shared" si="121"/>
        <v>0</v>
      </c>
      <c r="K325" s="59" t="e">
        <f>MIN($B$208*$B$210*I325/1000,(2.3*SQRT($B$207*$B$208*$B$210))/1000+(J325/4),$B$208*$B$210*I325/1000*(SQRT(2+4*$B$207/($B$208*$B$210*I325^2))-1)+J325/4)</f>
        <v>#DIV/0!</v>
      </c>
      <c r="L325" s="59" t="e">
        <f>B325*F325+#REF!*K325</f>
        <v>#DIV/0!</v>
      </c>
      <c r="M325" s="240"/>
    </row>
    <row r="326" spans="1:20" ht="45">
      <c r="A326" s="269" t="s">
        <v>1052</v>
      </c>
      <c r="B326" s="57">
        <v>1</v>
      </c>
      <c r="C326" s="57">
        <v>8</v>
      </c>
      <c r="D326" s="212">
        <f>80-24.5</f>
        <v>55.5</v>
      </c>
      <c r="E326" s="58">
        <f t="shared" ref="E326:E333" si="122">(0.52*SQRT(C326)*D326^0.9*$B$288^0.8)/1000</f>
        <v>6.3941173944115528</v>
      </c>
      <c r="F326" s="58">
        <f>MIN(C326*D326*$C$292/1000,(2.3*SQRT($C$289*$C$292*C326))/1000+(E326/4),C326*D326*$C$292/1000*(SQRT(2+4*$C$289/($C$292*C326*D326^2))-1)+E326/4)</f>
        <v>5.2078779245833671</v>
      </c>
      <c r="G326" s="57">
        <v>7</v>
      </c>
      <c r="H326" s="57">
        <v>8</v>
      </c>
      <c r="I326" s="212">
        <v>70</v>
      </c>
      <c r="J326" s="58">
        <f t="shared" ref="J326:J333" si="123">(0.52*SQRT(H326)*I326^0.9*$B$288^0.8)/1000</f>
        <v>7.8796178754106014</v>
      </c>
      <c r="K326" s="58">
        <f>MIN(H326*I326*$C$292/1000,(2.3*SQRT($C$289*$C$292*H326))/1000+(J326/4),H326*I326*$C$292/1000*(SQRT(2+4*$C$289/($C$292*H326*I326^2))-1)+J326/4)</f>
        <v>5.7539958910348616</v>
      </c>
      <c r="L326" s="58">
        <f>B326^0.9*F326+G326^0.9*K326</f>
        <v>38.363546016241301</v>
      </c>
      <c r="M326" s="196" t="s">
        <v>357</v>
      </c>
    </row>
    <row r="327" spans="1:20" ht="45">
      <c r="A327" s="224" t="s">
        <v>1053</v>
      </c>
      <c r="B327" s="57">
        <v>1</v>
      </c>
      <c r="C327" s="57">
        <v>8</v>
      </c>
      <c r="D327" s="212">
        <f>80-24.5</f>
        <v>55.5</v>
      </c>
      <c r="E327" s="58">
        <f t="shared" si="122"/>
        <v>6.3941173944115528</v>
      </c>
      <c r="F327" s="58">
        <f>MIN(C327*D327*$C$292/1000,(2.3*SQRT($C$289*$C$292*C327))/1000+(E327/4),C327*D327*$C$292/1000*(SQRT(2+4*$C$289/($C$292*C327*D327^2))-1)+E327/4)</f>
        <v>5.2078779245833671</v>
      </c>
      <c r="G327" s="57">
        <v>7</v>
      </c>
      <c r="H327" s="57">
        <v>8</v>
      </c>
      <c r="I327" s="212">
        <v>70</v>
      </c>
      <c r="J327" s="58">
        <f t="shared" si="123"/>
        <v>7.8796178754106014</v>
      </c>
      <c r="K327" s="58">
        <f>MIN(H327*I327*$C$292/1000,(2.3*SQRT($C$289*$C$292*H327))/1000+(J327/4),H327*I327*$C$292/1000*(SQRT(2+4*$C$289/($C$292*H327*I327^2))-1)+J327/4)</f>
        <v>5.7539958910348616</v>
      </c>
      <c r="L327" s="58">
        <f>B327^0.9*F327+G327^0.9*K327</f>
        <v>38.363546016241301</v>
      </c>
      <c r="M327" s="196" t="s">
        <v>357</v>
      </c>
    </row>
    <row r="328" spans="1:20" ht="45">
      <c r="A328" s="224" t="s">
        <v>1054</v>
      </c>
      <c r="B328" s="57">
        <v>1</v>
      </c>
      <c r="C328" s="57">
        <v>8</v>
      </c>
      <c r="D328" s="212">
        <f>80-24.5</f>
        <v>55.5</v>
      </c>
      <c r="E328" s="58">
        <f t="shared" si="122"/>
        <v>6.3941173944115528</v>
      </c>
      <c r="F328" s="58">
        <f>MIN(C328*D328*$C$292/1000,(2.3*SQRT($C$289*$C$292*C328))/1000+(E328/4),C328*D328*$C$292/1000*(SQRT(2+4*$C$289/($C$292*C328*D328^2))-1)+E328/4)</f>
        <v>5.2078779245833671</v>
      </c>
      <c r="G328" s="57">
        <v>8</v>
      </c>
      <c r="H328" s="57">
        <v>8</v>
      </c>
      <c r="I328" s="212">
        <v>70</v>
      </c>
      <c r="J328" s="58">
        <f t="shared" si="123"/>
        <v>7.8796178754106014</v>
      </c>
      <c r="K328" s="58">
        <f>MIN(H328*I328*$C$292/1000,(2.3*SQRT($C$289*$C$292*H328))/1000+(J328/4),H328*I328*$C$292/1000*(SQRT(2+4*$C$289/($C$292*H328*I328^2))-1)+J328/4)</f>
        <v>5.7539958910348616</v>
      </c>
      <c r="L328" s="58">
        <f t="shared" ref="L328:L332" si="124">B328^0.9*F328+G328^0.9*K328</f>
        <v>42.597453533519349</v>
      </c>
      <c r="M328" s="196" t="s">
        <v>357</v>
      </c>
    </row>
    <row r="329" spans="1:20" ht="45.75" thickBot="1">
      <c r="A329" s="421" t="s">
        <v>1055</v>
      </c>
      <c r="B329" s="287">
        <v>1</v>
      </c>
      <c r="C329" s="287">
        <v>8</v>
      </c>
      <c r="D329" s="286">
        <f>80-24.5</f>
        <v>55.5</v>
      </c>
      <c r="E329" s="323">
        <f t="shared" si="122"/>
        <v>6.3941173944115528</v>
      </c>
      <c r="F329" s="323">
        <f>MIN(C329*D329*$C$292/1000,(2.3*SQRT($C$289*$C$292*C329))/1000+(E329/4),C329*D329*$C$292/1000*(SQRT(2+4*$C$289/($C$292*C329*D329^2))-1)+E329/4)</f>
        <v>5.2078779245833671</v>
      </c>
      <c r="G329" s="287">
        <v>8</v>
      </c>
      <c r="H329" s="287">
        <v>8</v>
      </c>
      <c r="I329" s="286">
        <v>70</v>
      </c>
      <c r="J329" s="323">
        <f t="shared" si="123"/>
        <v>7.8796178754106014</v>
      </c>
      <c r="K329" s="323">
        <f>MIN(H329*I329*$C$292/1000,(2.3*SQRT($C$289*$C$292*H329))/1000+(J329/4),H329*I329*$C$292/1000*(SQRT(2+4*$C$289/($C$292*H329*I329^2))-1)+J329/4)</f>
        <v>5.7539958910348616</v>
      </c>
      <c r="L329" s="323">
        <f t="shared" ref="L329" si="125">B329^0.9*F329+G329^0.9*K329</f>
        <v>42.597453533519349</v>
      </c>
      <c r="M329" s="196" t="s">
        <v>357</v>
      </c>
    </row>
    <row r="330" spans="1:20" ht="45.75" thickTop="1">
      <c r="A330" s="269" t="s">
        <v>1056</v>
      </c>
      <c r="B330" s="261">
        <v>1</v>
      </c>
      <c r="C330" s="261">
        <v>10</v>
      </c>
      <c r="D330" s="260">
        <f>100-25</f>
        <v>75</v>
      </c>
      <c r="E330" s="325">
        <f t="shared" si="122"/>
        <v>9.3740456535592109</v>
      </c>
      <c r="F330" s="325">
        <f>MIN(C330*D330*$B$292/1000,(2.3*SQRT($B$289*$B$292*C330))/1000+(E330/4),C330*D330*$B$292/1000*(SQRT(2+4*$B$289/($B$292*C330*D330^2))-1)+E330/4)</f>
        <v>7.7560268644377208</v>
      </c>
      <c r="G330" s="261">
        <v>8</v>
      </c>
      <c r="H330" s="261">
        <v>10</v>
      </c>
      <c r="I330" s="260">
        <v>85</v>
      </c>
      <c r="J330" s="325">
        <f t="shared" si="123"/>
        <v>10.491774806064372</v>
      </c>
      <c r="K330" s="325">
        <f>MIN(H330*I330*$B$292/1000,(2.3*SQRT($B$289*$B$292*H330))/1000+(J330/4),H330*I330*$B$292/1000*(SQRT(2+4*$B$289/($B$292*H330*I330^2))-1)+J330/4)</f>
        <v>8.0354591525640107</v>
      </c>
      <c r="L330" s="325">
        <f t="shared" si="124"/>
        <v>59.970594484379816</v>
      </c>
      <c r="M330" s="196" t="s">
        <v>357</v>
      </c>
    </row>
    <row r="331" spans="1:20" ht="45">
      <c r="A331" s="224" t="s">
        <v>1057</v>
      </c>
      <c r="B331" s="57">
        <v>1</v>
      </c>
      <c r="C331" s="57">
        <v>10</v>
      </c>
      <c r="D331" s="212">
        <f>100-25</f>
        <v>75</v>
      </c>
      <c r="E331" s="58">
        <f t="shared" si="122"/>
        <v>9.3740456535592109</v>
      </c>
      <c r="F331" s="58">
        <f>MIN(C331*D331*$B$292/1000,(2.3*SQRT($B$289*$B$292*C331))/1000+(E331/4),C331*D331*$B$292/1000*(SQRT(2+4*$B$289/($B$292*C331*D331^2))-1)+E331/4)</f>
        <v>7.7560268644377208</v>
      </c>
      <c r="G331" s="57">
        <v>8</v>
      </c>
      <c r="H331" s="57">
        <v>10</v>
      </c>
      <c r="I331" s="212">
        <v>85</v>
      </c>
      <c r="J331" s="58">
        <f t="shared" si="123"/>
        <v>10.491774806064372</v>
      </c>
      <c r="K331" s="58">
        <f>MIN(H331*I331*$B$292/1000,(2.3*SQRT($B$289*$B$292*H331))/1000+(J331/4),H331*I331*$B$292/1000*(SQRT(2+4*$B$289/($B$292*H331*I331^2))-1)+J331/4)</f>
        <v>8.0354591525640107</v>
      </c>
      <c r="L331" s="58">
        <f t="shared" ref="L331" si="126">B331^0.9*F331+G331^0.9*K331</f>
        <v>59.970594484379816</v>
      </c>
      <c r="M331" s="196" t="s">
        <v>357</v>
      </c>
    </row>
    <row r="332" spans="1:20" ht="45">
      <c r="A332" s="224" t="s">
        <v>1058</v>
      </c>
      <c r="B332" s="57">
        <v>1</v>
      </c>
      <c r="C332" s="57">
        <v>10</v>
      </c>
      <c r="D332" s="212">
        <f>100-25</f>
        <v>75</v>
      </c>
      <c r="E332" s="58">
        <f t="shared" si="122"/>
        <v>9.3740456535592109</v>
      </c>
      <c r="F332" s="58">
        <f>MIN(C332*D332*$B$292/1000,(2.3*SQRT($B$289*$B$292*C332))/1000+(E332/4),C332*D332*$B$292/1000*(SQRT(2+4*$B$289/($B$292*C332*D332^2))-1)+E332/4)</f>
        <v>7.7560268644377208</v>
      </c>
      <c r="G332" s="57">
        <v>8</v>
      </c>
      <c r="H332" s="57">
        <v>10</v>
      </c>
      <c r="I332" s="212">
        <v>85</v>
      </c>
      <c r="J332" s="58">
        <f t="shared" si="123"/>
        <v>10.491774806064372</v>
      </c>
      <c r="K332" s="58">
        <f>MIN(H332*I332*$B$292/1000,(2.3*SQRT($B$289*$B$292*H332))/1000+(J332/4),H332*I332*$B$292/1000*(SQRT(2+4*$B$289/($B$292*H332*I332^2))-1)+J332/4)</f>
        <v>8.0354591525640107</v>
      </c>
      <c r="L332" s="58">
        <f t="shared" si="124"/>
        <v>59.970594484379816</v>
      </c>
      <c r="M332" s="196" t="s">
        <v>357</v>
      </c>
    </row>
    <row r="333" spans="1:20" ht="45">
      <c r="A333" s="224" t="s">
        <v>1059</v>
      </c>
      <c r="B333" s="57">
        <v>1</v>
      </c>
      <c r="C333" s="57">
        <v>10</v>
      </c>
      <c r="D333" s="212">
        <f>100-25</f>
        <v>75</v>
      </c>
      <c r="E333" s="58">
        <f t="shared" si="122"/>
        <v>9.3740456535592109</v>
      </c>
      <c r="F333" s="58">
        <f>MIN(C333*D333*$B$292/1000,(2.3*SQRT($B$289*$B$292*C333))/1000+(E333/4),C333*D333*$B$292/1000*(SQRT(2+4*$B$289/($B$292*C333*D333^2))-1)+E333/4)</f>
        <v>7.7560268644377208</v>
      </c>
      <c r="G333" s="57">
        <v>8</v>
      </c>
      <c r="H333" s="57">
        <v>10</v>
      </c>
      <c r="I333" s="212">
        <v>85</v>
      </c>
      <c r="J333" s="58">
        <f t="shared" si="123"/>
        <v>10.491774806064372</v>
      </c>
      <c r="K333" s="58">
        <f>MIN(H333*I333*$B$292/1000,(2.3*SQRT($B$289*$B$292*H333))/1000+(J333/4),H333*I333*$B$292/1000*(SQRT(2+4*$B$289/($B$292*H333*I333^2))-1)+J333/4)</f>
        <v>8.0354591525640107</v>
      </c>
      <c r="L333" s="58">
        <f t="shared" ref="L333" si="127">B333^0.9*F333+G333^0.9*K333</f>
        <v>59.970594484379816</v>
      </c>
      <c r="M333" s="196" t="s">
        <v>357</v>
      </c>
    </row>
    <row r="335" spans="1:20">
      <c r="B335" s="71"/>
      <c r="F335" t="s">
        <v>69</v>
      </c>
    </row>
    <row r="336" spans="1:20" ht="18">
      <c r="A336" s="3" t="s">
        <v>2</v>
      </c>
      <c r="B336" s="72" t="s">
        <v>58</v>
      </c>
      <c r="C336" s="72" t="s">
        <v>70</v>
      </c>
      <c r="D336" s="4" t="s">
        <v>71</v>
      </c>
      <c r="E336" s="72" t="s">
        <v>72</v>
      </c>
      <c r="F336" s="73" t="s">
        <v>81</v>
      </c>
      <c r="G336" s="74"/>
      <c r="O336" s="3" t="s">
        <v>2</v>
      </c>
      <c r="P336" s="664" t="s">
        <v>74</v>
      </c>
      <c r="Q336" s="665"/>
      <c r="R336" s="665"/>
      <c r="S336" s="665"/>
      <c r="T336" s="666"/>
    </row>
    <row r="337" spans="1:21">
      <c r="A337" s="7"/>
      <c r="B337" s="75" t="s">
        <v>17</v>
      </c>
      <c r="C337" s="76" t="s">
        <v>17</v>
      </c>
      <c r="D337" s="8" t="s">
        <v>75</v>
      </c>
      <c r="E337" s="76" t="s">
        <v>17</v>
      </c>
      <c r="F337" s="77" t="s">
        <v>17</v>
      </c>
      <c r="G337" s="74"/>
      <c r="O337" s="7"/>
      <c r="P337" s="95">
        <v>0.6</v>
      </c>
      <c r="Q337" s="95">
        <v>0.7</v>
      </c>
      <c r="R337" s="95">
        <v>0.8</v>
      </c>
      <c r="S337" s="95">
        <v>0.9</v>
      </c>
      <c r="T337" s="95">
        <v>1</v>
      </c>
      <c r="U337" s="2"/>
    </row>
    <row r="338" spans="1:21" hidden="1">
      <c r="A338" s="13" t="s">
        <v>27</v>
      </c>
      <c r="B338" s="59" t="e">
        <f t="shared" ref="B338:B346" si="128">L298</f>
        <v>#DIV/0!</v>
      </c>
      <c r="C338" s="59">
        <v>34</v>
      </c>
      <c r="D338" s="96">
        <v>10.7</v>
      </c>
      <c r="E338" s="59" t="e">
        <f t="shared" ref="E338:E346" si="129">1/SQRT((1/L318)^2+(1/(D338*E318))^2)</f>
        <v>#VALUE!</v>
      </c>
      <c r="F338" s="97" t="e">
        <f>MIN(B338,E338)</f>
        <v>#DIV/0!</v>
      </c>
      <c r="G338" s="80"/>
      <c r="N338" s="94"/>
      <c r="O338" s="13" t="s">
        <v>27</v>
      </c>
      <c r="P338" s="81" t="e">
        <f t="shared" ref="P338:T345" si="130">MIN(P$260*$B338/1.3,$C338/1,P$260*$E338/1.3)</f>
        <v>#DIV/0!</v>
      </c>
      <c r="Q338" s="81" t="e">
        <f t="shared" si="130"/>
        <v>#DIV/0!</v>
      </c>
      <c r="R338" s="81" t="e">
        <f t="shared" si="130"/>
        <v>#DIV/0!</v>
      </c>
      <c r="S338" s="81" t="e">
        <f t="shared" si="130"/>
        <v>#DIV/0!</v>
      </c>
      <c r="T338" s="81" t="e">
        <f t="shared" si="130"/>
        <v>#DIV/0!</v>
      </c>
    </row>
    <row r="339" spans="1:21" hidden="1">
      <c r="A339" s="41" t="s">
        <v>28</v>
      </c>
      <c r="B339" s="59" t="e">
        <f t="shared" si="128"/>
        <v>#DIV/0!</v>
      </c>
      <c r="C339" s="59">
        <v>34</v>
      </c>
      <c r="D339" s="96">
        <v>18.3</v>
      </c>
      <c r="E339" s="59" t="e">
        <f t="shared" si="129"/>
        <v>#VALUE!</v>
      </c>
      <c r="F339" s="97" t="e">
        <f t="shared" ref="F339:F353" si="131">MIN(B339,E339)</f>
        <v>#DIV/0!</v>
      </c>
      <c r="G339" s="80"/>
      <c r="N339" s="94"/>
      <c r="O339" s="41" t="s">
        <v>28</v>
      </c>
      <c r="P339" s="81" t="e">
        <f t="shared" si="130"/>
        <v>#DIV/0!</v>
      </c>
      <c r="Q339" s="81" t="e">
        <f t="shared" si="130"/>
        <v>#DIV/0!</v>
      </c>
      <c r="R339" s="81" t="e">
        <f t="shared" si="130"/>
        <v>#DIV/0!</v>
      </c>
      <c r="S339" s="81" t="e">
        <f t="shared" si="130"/>
        <v>#DIV/0!</v>
      </c>
      <c r="T339" s="81" t="e">
        <f t="shared" si="130"/>
        <v>#DIV/0!</v>
      </c>
    </row>
    <row r="340" spans="1:21" hidden="1">
      <c r="A340" s="13" t="s">
        <v>29</v>
      </c>
      <c r="B340" s="59" t="e">
        <f t="shared" si="128"/>
        <v>#DIV/0!</v>
      </c>
      <c r="C340" s="59">
        <v>34</v>
      </c>
      <c r="D340" s="96">
        <v>27.8</v>
      </c>
      <c r="E340" s="59" t="e">
        <f t="shared" si="129"/>
        <v>#VALUE!</v>
      </c>
      <c r="F340" s="97" t="e">
        <f t="shared" si="131"/>
        <v>#DIV/0!</v>
      </c>
      <c r="G340" s="80"/>
      <c r="N340" s="94"/>
      <c r="O340" s="13" t="s">
        <v>29</v>
      </c>
      <c r="P340" s="81" t="e">
        <f t="shared" si="130"/>
        <v>#DIV/0!</v>
      </c>
      <c r="Q340" s="81" t="e">
        <f t="shared" si="130"/>
        <v>#DIV/0!</v>
      </c>
      <c r="R340" s="81" t="e">
        <f t="shared" si="130"/>
        <v>#DIV/0!</v>
      </c>
      <c r="S340" s="81" t="e">
        <f t="shared" si="130"/>
        <v>#DIV/0!</v>
      </c>
      <c r="T340" s="81" t="e">
        <f t="shared" si="130"/>
        <v>#DIV/0!</v>
      </c>
    </row>
    <row r="341" spans="1:21" hidden="1">
      <c r="A341" s="41" t="s">
        <v>30</v>
      </c>
      <c r="B341" s="59" t="e">
        <f t="shared" si="128"/>
        <v>#DIV/0!</v>
      </c>
      <c r="C341" s="59">
        <v>34</v>
      </c>
      <c r="D341" s="96">
        <v>39.299999999999997</v>
      </c>
      <c r="E341" s="59" t="e">
        <f t="shared" si="129"/>
        <v>#VALUE!</v>
      </c>
      <c r="F341" s="97" t="e">
        <f t="shared" si="131"/>
        <v>#DIV/0!</v>
      </c>
      <c r="G341" s="80"/>
      <c r="N341" s="94"/>
      <c r="O341" s="41" t="s">
        <v>30</v>
      </c>
      <c r="P341" s="81" t="e">
        <f t="shared" si="130"/>
        <v>#DIV/0!</v>
      </c>
      <c r="Q341" s="81" t="e">
        <f t="shared" si="130"/>
        <v>#DIV/0!</v>
      </c>
      <c r="R341" s="81" t="e">
        <f t="shared" si="130"/>
        <v>#DIV/0!</v>
      </c>
      <c r="S341" s="81" t="e">
        <f t="shared" si="130"/>
        <v>#DIV/0!</v>
      </c>
      <c r="T341" s="81" t="e">
        <f t="shared" si="130"/>
        <v>#DIV/0!</v>
      </c>
    </row>
    <row r="342" spans="1:21" hidden="1">
      <c r="A342" s="13" t="s">
        <v>31</v>
      </c>
      <c r="B342" s="59" t="e">
        <f t="shared" si="128"/>
        <v>#VALUE!</v>
      </c>
      <c r="C342" s="59">
        <v>50</v>
      </c>
      <c r="D342" s="96">
        <v>27.8</v>
      </c>
      <c r="E342" s="59" t="e">
        <f t="shared" si="129"/>
        <v>#DIV/0!</v>
      </c>
      <c r="F342" s="97" t="e">
        <f t="shared" si="131"/>
        <v>#VALUE!</v>
      </c>
      <c r="G342" s="80"/>
      <c r="N342" s="94"/>
      <c r="O342" s="13" t="s">
        <v>31</v>
      </c>
      <c r="P342" s="81" t="e">
        <f t="shared" si="130"/>
        <v>#VALUE!</v>
      </c>
      <c r="Q342" s="81" t="e">
        <f t="shared" si="130"/>
        <v>#VALUE!</v>
      </c>
      <c r="R342" s="81" t="e">
        <f t="shared" si="130"/>
        <v>#VALUE!</v>
      </c>
      <c r="S342" s="81" t="e">
        <f t="shared" si="130"/>
        <v>#VALUE!</v>
      </c>
      <c r="T342" s="81" t="e">
        <f t="shared" si="130"/>
        <v>#VALUE!</v>
      </c>
    </row>
    <row r="343" spans="1:21" hidden="1">
      <c r="A343" s="41" t="s">
        <v>32</v>
      </c>
      <c r="B343" s="59" t="e">
        <f t="shared" si="128"/>
        <v>#VALUE!</v>
      </c>
      <c r="C343" s="59">
        <v>50</v>
      </c>
      <c r="D343" s="96">
        <v>39.299999999999997</v>
      </c>
      <c r="E343" s="59" t="e">
        <f t="shared" si="129"/>
        <v>#DIV/0!</v>
      </c>
      <c r="F343" s="97" t="e">
        <f t="shared" si="131"/>
        <v>#VALUE!</v>
      </c>
      <c r="G343" s="80"/>
      <c r="N343" s="94"/>
      <c r="O343" s="41" t="s">
        <v>32</v>
      </c>
      <c r="P343" s="81" t="e">
        <f t="shared" si="130"/>
        <v>#VALUE!</v>
      </c>
      <c r="Q343" s="81" t="e">
        <f t="shared" si="130"/>
        <v>#VALUE!</v>
      </c>
      <c r="R343" s="81" t="e">
        <f t="shared" si="130"/>
        <v>#VALUE!</v>
      </c>
      <c r="S343" s="81" t="e">
        <f t="shared" si="130"/>
        <v>#VALUE!</v>
      </c>
      <c r="T343" s="81" t="e">
        <f t="shared" si="130"/>
        <v>#VALUE!</v>
      </c>
    </row>
    <row r="344" spans="1:21" hidden="1">
      <c r="A344" s="41" t="s">
        <v>33</v>
      </c>
      <c r="B344" s="59" t="e">
        <f t="shared" si="128"/>
        <v>#VALUE!</v>
      </c>
      <c r="C344" s="59">
        <v>50</v>
      </c>
      <c r="D344" s="96">
        <v>52.9</v>
      </c>
      <c r="E344" s="59" t="e">
        <f t="shared" si="129"/>
        <v>#DIV/0!</v>
      </c>
      <c r="F344" s="97" t="e">
        <f t="shared" si="131"/>
        <v>#VALUE!</v>
      </c>
      <c r="G344" s="80"/>
      <c r="N344" s="94"/>
      <c r="O344" s="41" t="s">
        <v>33</v>
      </c>
      <c r="P344" s="81" t="e">
        <f t="shared" si="130"/>
        <v>#VALUE!</v>
      </c>
      <c r="Q344" s="81" t="e">
        <f t="shared" si="130"/>
        <v>#VALUE!</v>
      </c>
      <c r="R344" s="81" t="e">
        <f t="shared" si="130"/>
        <v>#VALUE!</v>
      </c>
      <c r="S344" s="81" t="e">
        <f t="shared" si="130"/>
        <v>#VALUE!</v>
      </c>
      <c r="T344" s="81" t="e">
        <f t="shared" si="130"/>
        <v>#VALUE!</v>
      </c>
    </row>
    <row r="345" spans="1:21" hidden="1">
      <c r="A345" s="13" t="s">
        <v>34</v>
      </c>
      <c r="B345" s="59" t="e">
        <f t="shared" si="128"/>
        <v>#VALUE!</v>
      </c>
      <c r="C345" s="59">
        <v>50</v>
      </c>
      <c r="D345" s="96">
        <v>68.400000000000006</v>
      </c>
      <c r="E345" s="59" t="e">
        <f t="shared" si="129"/>
        <v>#DIV/0!</v>
      </c>
      <c r="F345" s="97" t="e">
        <f t="shared" si="131"/>
        <v>#VALUE!</v>
      </c>
      <c r="G345" s="80"/>
      <c r="N345" s="94"/>
      <c r="O345" s="13" t="s">
        <v>34</v>
      </c>
      <c r="P345" s="81" t="e">
        <f t="shared" si="130"/>
        <v>#VALUE!</v>
      </c>
      <c r="Q345" s="81" t="e">
        <f t="shared" si="130"/>
        <v>#VALUE!</v>
      </c>
      <c r="R345" s="81" t="e">
        <f t="shared" si="130"/>
        <v>#VALUE!</v>
      </c>
      <c r="S345" s="81" t="e">
        <f t="shared" si="130"/>
        <v>#VALUE!</v>
      </c>
      <c r="T345" s="81" t="e">
        <f t="shared" si="130"/>
        <v>#VALUE!</v>
      </c>
    </row>
    <row r="346" spans="1:21" ht="45">
      <c r="A346" s="269" t="s">
        <v>1052</v>
      </c>
      <c r="B346" s="59">
        <f t="shared" si="128"/>
        <v>31.491496682526368</v>
      </c>
      <c r="C346" s="59">
        <v>34</v>
      </c>
      <c r="D346" s="96">
        <v>10.7</v>
      </c>
      <c r="E346" s="59">
        <f t="shared" si="129"/>
        <v>33.461995493984347</v>
      </c>
      <c r="F346" s="97">
        <f t="shared" si="131"/>
        <v>31.491496682526368</v>
      </c>
      <c r="G346" s="80"/>
      <c r="N346" s="94"/>
      <c r="O346" s="269" t="s">
        <v>728</v>
      </c>
      <c r="P346" s="81">
        <f t="shared" ref="P346:T353" si="132">MIN(P$337*$B346/1.3,$C346/1,P$337*$E346/1.3)</f>
        <v>14.534536930396785</v>
      </c>
      <c r="Q346" s="81">
        <f t="shared" si="132"/>
        <v>16.956959752129581</v>
      </c>
      <c r="R346" s="81">
        <f t="shared" si="132"/>
        <v>19.37938257386238</v>
      </c>
      <c r="S346" s="81">
        <f t="shared" si="132"/>
        <v>21.801805395595178</v>
      </c>
      <c r="T346" s="81">
        <f t="shared" si="132"/>
        <v>24.224228217327973</v>
      </c>
    </row>
    <row r="347" spans="1:21" ht="45">
      <c r="A347" s="224" t="s">
        <v>1053</v>
      </c>
      <c r="B347" s="59">
        <f t="shared" ref="B347:B353" si="133">L307</f>
        <v>38.963464114889931</v>
      </c>
      <c r="C347" s="59">
        <v>34</v>
      </c>
      <c r="D347" s="96">
        <v>10.7</v>
      </c>
      <c r="E347" s="59">
        <f t="shared" ref="E347:E353" si="134">1/SQRT((1/L327)^2+(1/(D347*E327))^2)</f>
        <v>33.461995493984347</v>
      </c>
      <c r="F347" s="97">
        <f t="shared" si="131"/>
        <v>33.461995493984347</v>
      </c>
      <c r="G347" s="80"/>
      <c r="N347" s="94"/>
      <c r="O347" s="269" t="s">
        <v>732</v>
      </c>
      <c r="P347" s="81">
        <f t="shared" si="132"/>
        <v>15.443997920300466</v>
      </c>
      <c r="Q347" s="81">
        <f t="shared" si="132"/>
        <v>18.017997573683878</v>
      </c>
      <c r="R347" s="81">
        <f t="shared" si="132"/>
        <v>20.591997227067289</v>
      </c>
      <c r="S347" s="81">
        <f t="shared" si="132"/>
        <v>23.165996880450702</v>
      </c>
      <c r="T347" s="81">
        <f t="shared" si="132"/>
        <v>25.739996533834113</v>
      </c>
    </row>
    <row r="348" spans="1:21" ht="45">
      <c r="A348" s="224" t="s">
        <v>1054</v>
      </c>
      <c r="B348" s="59">
        <f t="shared" si="133"/>
        <v>34.932860097435942</v>
      </c>
      <c r="C348" s="59">
        <v>34</v>
      </c>
      <c r="D348" s="96">
        <v>27.8</v>
      </c>
      <c r="E348" s="59">
        <f t="shared" si="134"/>
        <v>41.424610237180048</v>
      </c>
      <c r="F348" s="97">
        <f t="shared" si="131"/>
        <v>34.932860097435942</v>
      </c>
      <c r="G348" s="80"/>
      <c r="N348" s="94"/>
      <c r="O348" s="224" t="s">
        <v>729</v>
      </c>
      <c r="P348" s="81">
        <f t="shared" si="132"/>
        <v>16.122858506508894</v>
      </c>
      <c r="Q348" s="81">
        <f t="shared" si="132"/>
        <v>18.810001590927044</v>
      </c>
      <c r="R348" s="81">
        <f t="shared" si="132"/>
        <v>21.497144675345194</v>
      </c>
      <c r="S348" s="81">
        <f t="shared" si="132"/>
        <v>24.184287759763347</v>
      </c>
      <c r="T348" s="81">
        <f t="shared" si="132"/>
        <v>26.871430844181493</v>
      </c>
    </row>
    <row r="349" spans="1:21" ht="45.75" thickBot="1">
      <c r="A349" s="421" t="s">
        <v>1055</v>
      </c>
      <c r="B349" s="584">
        <f t="shared" si="133"/>
        <v>43.217233639431143</v>
      </c>
      <c r="C349" s="584">
        <v>34</v>
      </c>
      <c r="D349" s="598">
        <v>27.8</v>
      </c>
      <c r="E349" s="584">
        <f t="shared" si="134"/>
        <v>41.424610237180048</v>
      </c>
      <c r="F349" s="599">
        <f t="shared" si="131"/>
        <v>41.424610237180048</v>
      </c>
      <c r="G349" s="80"/>
      <c r="N349" s="94"/>
      <c r="O349" s="224" t="s">
        <v>733</v>
      </c>
      <c r="P349" s="81">
        <f t="shared" si="132"/>
        <v>19.119050878698481</v>
      </c>
      <c r="Q349" s="81">
        <f t="shared" si="132"/>
        <v>22.305559358481563</v>
      </c>
      <c r="R349" s="81">
        <f t="shared" si="132"/>
        <v>25.492067838264646</v>
      </c>
      <c r="S349" s="81">
        <f t="shared" si="132"/>
        <v>28.678576318047725</v>
      </c>
      <c r="T349" s="81">
        <f t="shared" si="132"/>
        <v>31.865084797830804</v>
      </c>
    </row>
    <row r="350" spans="1:21" ht="31.5" customHeight="1" thickTop="1">
      <c r="A350" s="269" t="s">
        <v>1056</v>
      </c>
      <c r="B350" s="592">
        <f t="shared" si="133"/>
        <v>48.84998370785852</v>
      </c>
      <c r="C350" s="592">
        <v>50</v>
      </c>
      <c r="D350" s="596">
        <v>27.8</v>
      </c>
      <c r="E350" s="592">
        <f t="shared" si="134"/>
        <v>58.443039446631978</v>
      </c>
      <c r="F350" s="597">
        <f t="shared" si="131"/>
        <v>48.84998370785852</v>
      </c>
      <c r="G350" s="80"/>
      <c r="N350" s="94"/>
      <c r="O350" s="224" t="s">
        <v>730</v>
      </c>
      <c r="P350" s="81">
        <f t="shared" si="132"/>
        <v>22.54614632670393</v>
      </c>
      <c r="Q350" s="81">
        <f t="shared" si="132"/>
        <v>26.303837381154583</v>
      </c>
      <c r="R350" s="81">
        <f t="shared" si="132"/>
        <v>30.061528435605243</v>
      </c>
      <c r="S350" s="81">
        <f t="shared" si="132"/>
        <v>33.8192194900559</v>
      </c>
      <c r="T350" s="81">
        <f t="shared" si="132"/>
        <v>37.576910544506553</v>
      </c>
    </row>
    <row r="351" spans="1:21" ht="31.5" customHeight="1">
      <c r="A351" s="224" t="s">
        <v>1057</v>
      </c>
      <c r="B351" s="59">
        <f t="shared" si="133"/>
        <v>60.173759321907383</v>
      </c>
      <c r="C351" s="59">
        <v>50</v>
      </c>
      <c r="D351" s="96">
        <v>27.8</v>
      </c>
      <c r="E351" s="59">
        <f t="shared" si="134"/>
        <v>58.443039446631978</v>
      </c>
      <c r="F351" s="97">
        <f t="shared" si="131"/>
        <v>58.443039446631978</v>
      </c>
      <c r="G351" s="80"/>
      <c r="N351" s="94"/>
      <c r="O351" s="224" t="s">
        <v>734</v>
      </c>
      <c r="P351" s="81">
        <f t="shared" si="132"/>
        <v>26.973710513830145</v>
      </c>
      <c r="Q351" s="81">
        <f t="shared" si="132"/>
        <v>31.469328932801833</v>
      </c>
      <c r="R351" s="81">
        <f t="shared" si="132"/>
        <v>35.964947351773525</v>
      </c>
      <c r="S351" s="81">
        <f t="shared" si="132"/>
        <v>40.460565770745212</v>
      </c>
      <c r="T351" s="81">
        <f t="shared" si="132"/>
        <v>44.956184189716907</v>
      </c>
    </row>
    <row r="352" spans="1:21" ht="30" customHeight="1">
      <c r="A352" s="224" t="s">
        <v>1058</v>
      </c>
      <c r="B352" s="59">
        <f t="shared" si="133"/>
        <v>48.84998370785852</v>
      </c>
      <c r="C352" s="59">
        <v>50</v>
      </c>
      <c r="D352" s="96">
        <v>68.400000000000006</v>
      </c>
      <c r="E352" s="59">
        <f t="shared" si="134"/>
        <v>59.709990723289614</v>
      </c>
      <c r="F352" s="97">
        <f t="shared" si="131"/>
        <v>48.84998370785852</v>
      </c>
      <c r="G352" s="80"/>
      <c r="N352" s="94"/>
      <c r="O352" s="224" t="s">
        <v>731</v>
      </c>
      <c r="P352" s="81">
        <f t="shared" si="132"/>
        <v>22.54614632670393</v>
      </c>
      <c r="Q352" s="81">
        <f t="shared" si="132"/>
        <v>26.303837381154583</v>
      </c>
      <c r="R352" s="81">
        <f t="shared" si="132"/>
        <v>30.061528435605243</v>
      </c>
      <c r="S352" s="81">
        <f t="shared" si="132"/>
        <v>33.8192194900559</v>
      </c>
      <c r="T352" s="81">
        <f t="shared" si="132"/>
        <v>37.576910544506553</v>
      </c>
    </row>
    <row r="353" spans="1:33" ht="45">
      <c r="A353" s="224" t="s">
        <v>1059</v>
      </c>
      <c r="B353" s="59">
        <f t="shared" si="133"/>
        <v>60.173759321907383</v>
      </c>
      <c r="C353" s="59">
        <v>50</v>
      </c>
      <c r="D353" s="96">
        <v>68.400000000000006</v>
      </c>
      <c r="E353" s="59">
        <f t="shared" si="134"/>
        <v>59.709990723289614</v>
      </c>
      <c r="F353" s="97">
        <f t="shared" si="131"/>
        <v>59.709990723289614</v>
      </c>
      <c r="O353" s="224" t="s">
        <v>731</v>
      </c>
      <c r="P353" s="81">
        <f t="shared" si="132"/>
        <v>27.558457256902898</v>
      </c>
      <c r="Q353" s="81">
        <f t="shared" si="132"/>
        <v>32.151533466386709</v>
      </c>
      <c r="R353" s="81">
        <f t="shared" si="132"/>
        <v>36.744609675870528</v>
      </c>
      <c r="S353" s="81">
        <f t="shared" si="132"/>
        <v>41.337685885354347</v>
      </c>
      <c r="T353" s="81">
        <f t="shared" si="132"/>
        <v>45.930762094838165</v>
      </c>
    </row>
    <row r="357" spans="1:33" ht="18.75">
      <c r="A357" s="50" t="s">
        <v>1259</v>
      </c>
    </row>
    <row r="358" spans="1:33" ht="18.75">
      <c r="A358" s="50"/>
    </row>
    <row r="359" spans="1:33">
      <c r="A359" s="19" t="s">
        <v>35</v>
      </c>
      <c r="B359" s="20" t="s">
        <v>22</v>
      </c>
    </row>
    <row r="360" spans="1:33" ht="18">
      <c r="A360" s="21" t="s">
        <v>37</v>
      </c>
      <c r="B360">
        <f>VLOOKUP(B359,$V$7:$W$18,2,FALSE)</f>
        <v>350</v>
      </c>
      <c r="C360" t="s">
        <v>38</v>
      </c>
      <c r="L360" s="2"/>
      <c r="O360" s="2"/>
    </row>
    <row r="361" spans="1:33">
      <c r="L361" s="2"/>
      <c r="O361" s="2"/>
    </row>
    <row r="362" spans="1:33" ht="18.75" thickBot="1">
      <c r="A362" s="3" t="s">
        <v>2</v>
      </c>
      <c r="B362" s="4" t="s">
        <v>41</v>
      </c>
      <c r="C362" s="4" t="s">
        <v>83</v>
      </c>
      <c r="D362" s="4" t="s">
        <v>84</v>
      </c>
      <c r="E362" s="4" t="s">
        <v>85</v>
      </c>
      <c r="F362" s="4" t="s">
        <v>86</v>
      </c>
      <c r="I362" s="2" t="s">
        <v>87</v>
      </c>
      <c r="L362" s="2"/>
      <c r="O362" s="92"/>
      <c r="P362" s="92"/>
    </row>
    <row r="363" spans="1:33">
      <c r="A363" s="7"/>
      <c r="B363" s="8" t="s">
        <v>19</v>
      </c>
      <c r="C363" s="8" t="s">
        <v>18</v>
      </c>
      <c r="D363" s="8" t="s">
        <v>18</v>
      </c>
      <c r="E363" s="8" t="s">
        <v>88</v>
      </c>
      <c r="F363" s="8" t="s">
        <v>17</v>
      </c>
      <c r="I363" s="2" t="s">
        <v>89</v>
      </c>
      <c r="L363" s="2"/>
      <c r="O363" s="92"/>
      <c r="P363" s="92"/>
      <c r="W363" s="668" t="s">
        <v>90</v>
      </c>
      <c r="X363" s="669"/>
      <c r="Y363" s="669"/>
      <c r="Z363" s="669"/>
      <c r="AA363" s="669"/>
      <c r="AB363" s="22"/>
      <c r="AC363" s="669" t="s">
        <v>91</v>
      </c>
      <c r="AD363" s="669"/>
      <c r="AE363" s="669"/>
      <c r="AF363" s="669"/>
      <c r="AG363" s="670"/>
    </row>
    <row r="364" spans="1:33">
      <c r="A364" s="30" t="s">
        <v>92</v>
      </c>
      <c r="B364" s="32">
        <v>1</v>
      </c>
      <c r="C364" s="60">
        <v>12</v>
      </c>
      <c r="D364" s="60">
        <f>I77</f>
        <v>49</v>
      </c>
      <c r="E364" s="59">
        <f>0.082*(1-0.01*C364)*$B$360</f>
        <v>25.256</v>
      </c>
      <c r="F364" s="59">
        <f>MIN(0.4*B364*C364*D364*E364/1000,B364*(1.15/1000*SQRT(2*I364*E364*C364)+((0.52*SQRT(C364)*D364^0.9*$B$360^0.8)/1000)/4))</f>
        <v>5.9402112000000011</v>
      </c>
      <c r="G364" s="49" t="s">
        <v>93</v>
      </c>
      <c r="H364" s="49"/>
      <c r="I364" s="98">
        <f t="shared" ref="I364:I378" si="135">0.15*600*C364^2.6</f>
        <v>57559.067465202104</v>
      </c>
      <c r="L364" s="2"/>
      <c r="O364" s="92"/>
      <c r="P364" s="92"/>
      <c r="W364" s="23"/>
      <c r="X364" s="24">
        <v>0.6</v>
      </c>
      <c r="Y364" s="24">
        <v>0.7</v>
      </c>
      <c r="Z364" s="24">
        <v>0.8</v>
      </c>
      <c r="AA364" s="24">
        <v>0.9</v>
      </c>
      <c r="AB364" s="25"/>
      <c r="AC364" s="25"/>
      <c r="AD364" s="24">
        <v>0.6</v>
      </c>
      <c r="AE364" s="24">
        <v>0.7</v>
      </c>
      <c r="AF364" s="24">
        <v>0.8</v>
      </c>
      <c r="AG364" s="26">
        <v>0.9</v>
      </c>
    </row>
    <row r="365" spans="1:33">
      <c r="A365" s="30" t="s">
        <v>94</v>
      </c>
      <c r="B365" s="32">
        <v>1</v>
      </c>
      <c r="C365" s="60">
        <v>12</v>
      </c>
      <c r="D365" s="60">
        <f>I81</f>
        <v>45</v>
      </c>
      <c r="E365" s="59">
        <f>0.082*(1-0.01*C365)*$B$360</f>
        <v>25.256</v>
      </c>
      <c r="F365" s="59">
        <f>MIN(0.4*B365*C365*D365*E365/1000,B365*(1.15/1000*SQRT(2*I365*E365*C365)+((0.52*SQRT(C365)*D365^0.9*$B$360^0.8)/1000)/4))</f>
        <v>5.4552960000000015</v>
      </c>
      <c r="G365" s="49" t="s">
        <v>95</v>
      </c>
      <c r="H365" s="49"/>
      <c r="I365" s="98">
        <f t="shared" si="135"/>
        <v>57559.067465202104</v>
      </c>
      <c r="L365" s="2"/>
      <c r="O365" s="92"/>
      <c r="P365" s="92"/>
      <c r="W365" s="23">
        <v>350</v>
      </c>
      <c r="X365" s="27">
        <v>2.7416359384615387</v>
      </c>
      <c r="Y365" s="27">
        <v>3.1985752615384619</v>
      </c>
      <c r="Z365" s="27">
        <v>3.6555145846153856</v>
      </c>
      <c r="AA365" s="27">
        <v>4.1124539076923083</v>
      </c>
      <c r="AB365" s="25"/>
      <c r="AC365" s="25">
        <v>350</v>
      </c>
      <c r="AD365" s="27">
        <v>3.2757208615384621</v>
      </c>
      <c r="AE365" s="27">
        <v>3.8216743384615386</v>
      </c>
      <c r="AF365" s="27">
        <v>4.3676278153846164</v>
      </c>
      <c r="AG365" s="28">
        <v>4.9135812923076925</v>
      </c>
    </row>
    <row r="366" spans="1:33">
      <c r="A366" s="30" t="s">
        <v>96</v>
      </c>
      <c r="B366" s="32">
        <v>1</v>
      </c>
      <c r="C366" s="60">
        <v>12</v>
      </c>
      <c r="D366" s="60">
        <v>49</v>
      </c>
      <c r="E366" s="59">
        <f>0.082*(1-0.01*C366)*$B$360</f>
        <v>25.256</v>
      </c>
      <c r="F366" s="59">
        <f>MIN(0.4*B366*C366*D366*E366/1000,B366*(1.15/1000*SQRT(2*I366*E366*C366)+((0.52*SQRT(C366)*D366^0.9*$B$360^0.8)/1000)/4))</f>
        <v>5.9402112000000011</v>
      </c>
      <c r="G366" s="49"/>
      <c r="H366" s="49"/>
      <c r="I366" s="98">
        <f t="shared" si="135"/>
        <v>57559.067465202104</v>
      </c>
      <c r="L366" s="2"/>
      <c r="O366" s="92"/>
      <c r="P366" s="92"/>
      <c r="W366" s="23">
        <v>380</v>
      </c>
      <c r="X366" s="27">
        <v>2.9766333046153846</v>
      </c>
      <c r="Y366" s="27">
        <v>3.4727388553846152</v>
      </c>
      <c r="Z366" s="27">
        <v>3.9688444061538473</v>
      </c>
      <c r="AA366" s="27">
        <v>4.4649499569230775</v>
      </c>
      <c r="AB366" s="25"/>
      <c r="AC366" s="25">
        <v>380</v>
      </c>
      <c r="AD366" s="27">
        <v>3.5564969353846152</v>
      </c>
      <c r="AE366" s="27">
        <v>4.1492464246153844</v>
      </c>
      <c r="AF366" s="27">
        <v>4.7419959138461545</v>
      </c>
      <c r="AG366" s="28">
        <v>5.3347454030769228</v>
      </c>
    </row>
    <row r="367" spans="1:33">
      <c r="A367" s="30" t="s">
        <v>97</v>
      </c>
      <c r="B367" s="32">
        <v>1</v>
      </c>
      <c r="C367" s="60">
        <v>12</v>
      </c>
      <c r="D367" s="60">
        <v>49</v>
      </c>
      <c r="E367" s="59">
        <f>0.082*(1-0.01*C367)*$B$360/(1.35+0.015*C367)</f>
        <v>16.507189542483658</v>
      </c>
      <c r="F367" s="59">
        <f>MIN(0.4*B367*C367*D367*E367/1000,B367*(1.15/1000*SQRT(2*I367*E367*C367)+((0.52*SQRT(C367)*D367^0.9*$B$360^0.8)/1000)/4))</f>
        <v>3.8824909803921575</v>
      </c>
      <c r="G367" s="49"/>
      <c r="H367" s="49"/>
      <c r="I367" s="98">
        <f t="shared" si="135"/>
        <v>57559.067465202104</v>
      </c>
      <c r="L367" s="2"/>
      <c r="O367" s="92"/>
      <c r="P367" s="92"/>
      <c r="W367" s="23">
        <v>410</v>
      </c>
      <c r="X367" s="27">
        <v>3.2116306707692313</v>
      </c>
      <c r="Y367" s="27">
        <v>3.7469024492307694</v>
      </c>
      <c r="Z367" s="27">
        <v>4.282174227692308</v>
      </c>
      <c r="AA367" s="27">
        <v>4.8174460061538475</v>
      </c>
      <c r="AB367" s="25"/>
      <c r="AC367" s="25">
        <v>410</v>
      </c>
      <c r="AD367" s="27">
        <v>3.8372730092307696</v>
      </c>
      <c r="AE367" s="27">
        <v>4.4768185107692311</v>
      </c>
      <c r="AF367" s="27">
        <v>5.1163640123076934</v>
      </c>
      <c r="AG367" s="28">
        <v>5.7559095138461549</v>
      </c>
    </row>
    <row r="368" spans="1:33">
      <c r="A368" s="30" t="s">
        <v>98</v>
      </c>
      <c r="B368" s="32">
        <v>1</v>
      </c>
      <c r="C368" s="60">
        <v>8</v>
      </c>
      <c r="D368" s="60">
        <v>60</v>
      </c>
      <c r="E368" s="59">
        <f t="shared" ref="E368:E377" si="136">0.082*(1-0.01*C368)*$B$360</f>
        <v>26.404000000000003</v>
      </c>
      <c r="F368" s="59">
        <f>MIN(0.4*B368*C368*D368*E368/1000,B368*(1.15/1000*SQRT(2*I368*E368*C368)+((0.52*SQRT(C368)*D368^0.9*$B$360^0.8)/1000)/4))</f>
        <v>4.9316145996470588</v>
      </c>
      <c r="G368" s="49" t="s">
        <v>93</v>
      </c>
      <c r="H368" s="49"/>
      <c r="I368" s="98">
        <v>20000</v>
      </c>
      <c r="L368" s="2"/>
      <c r="O368" s="92"/>
      <c r="P368" s="92"/>
      <c r="W368" s="23"/>
      <c r="X368" s="27"/>
      <c r="Y368" s="27"/>
      <c r="Z368" s="27"/>
      <c r="AA368" s="27"/>
      <c r="AB368" s="25"/>
      <c r="AC368" s="25"/>
      <c r="AD368" s="27"/>
      <c r="AE368" s="27"/>
      <c r="AF368" s="27"/>
      <c r="AG368" s="28"/>
    </row>
    <row r="369" spans="1:33">
      <c r="A369" s="30" t="s">
        <v>741</v>
      </c>
      <c r="B369" s="32">
        <v>1</v>
      </c>
      <c r="C369" s="60">
        <v>30</v>
      </c>
      <c r="D369" s="60">
        <v>55</v>
      </c>
      <c r="E369" s="59">
        <f t="shared" si="136"/>
        <v>20.09</v>
      </c>
      <c r="F369" s="59">
        <f>(0.4*B369*C369*D369*E369/1000)</f>
        <v>13.259399999999999</v>
      </c>
      <c r="G369" s="49"/>
      <c r="H369" s="49"/>
      <c r="I369" s="98"/>
      <c r="L369" s="2"/>
      <c r="O369" s="92"/>
      <c r="P369" s="92"/>
      <c r="W369" s="23"/>
      <c r="X369" s="27"/>
      <c r="Y369" s="27"/>
      <c r="Z369" s="27"/>
      <c r="AA369" s="27"/>
      <c r="AB369" s="25"/>
      <c r="AC369" s="25"/>
      <c r="AD369" s="27"/>
      <c r="AE369" s="27"/>
      <c r="AF369" s="27"/>
      <c r="AG369" s="28"/>
    </row>
    <row r="370" spans="1:33">
      <c r="A370" s="30" t="s">
        <v>740</v>
      </c>
      <c r="B370" s="32">
        <v>1</v>
      </c>
      <c r="C370" s="60">
        <v>22</v>
      </c>
      <c r="D370" s="60">
        <v>24.5</v>
      </c>
      <c r="E370" s="59">
        <f t="shared" si="136"/>
        <v>22.386000000000003</v>
      </c>
      <c r="F370" s="59">
        <f>(0.4*B370*C370*D370*E370/1000)</f>
        <v>4.8264216000000015</v>
      </c>
      <c r="G370" s="49" t="s">
        <v>93</v>
      </c>
      <c r="H370" s="49"/>
      <c r="I370" s="98"/>
      <c r="L370" s="2"/>
      <c r="O370" s="92"/>
      <c r="P370" s="92"/>
      <c r="W370" s="23"/>
      <c r="X370" s="27"/>
      <c r="Y370" s="27"/>
      <c r="Z370" s="27"/>
      <c r="AA370" s="27"/>
      <c r="AB370" s="25"/>
      <c r="AC370" s="25"/>
      <c r="AD370" s="27"/>
      <c r="AE370" s="27"/>
      <c r="AF370" s="27"/>
      <c r="AG370" s="28"/>
    </row>
    <row r="371" spans="1:33">
      <c r="A371" s="30" t="s">
        <v>99</v>
      </c>
      <c r="B371" s="32">
        <v>1</v>
      </c>
      <c r="C371" s="60">
        <v>16</v>
      </c>
      <c r="D371" s="60">
        <v>46</v>
      </c>
      <c r="E371" s="59">
        <f t="shared" si="136"/>
        <v>24.108000000000001</v>
      </c>
      <c r="F371" s="59">
        <f>MIN(0.4*B371*C371*D371*E371/1000,B371*(1.15/1000*SQRT(2*I371*E371*C371)+((0.52*SQRT(C371)*D371^0.9*$B$360^0.8)/1000)/4))</f>
        <v>7.0973952000000011</v>
      </c>
      <c r="G371" s="49" t="s">
        <v>93</v>
      </c>
      <c r="H371" s="49"/>
      <c r="I371" s="98">
        <f t="shared" si="135"/>
        <v>121605.84905682993</v>
      </c>
      <c r="L371" s="2"/>
      <c r="O371" s="92"/>
      <c r="P371" s="92"/>
      <c r="W371" s="23">
        <v>430</v>
      </c>
      <c r="X371" s="27">
        <v>3.3682955815384616</v>
      </c>
      <c r="Y371" s="27">
        <v>3.9296781784615389</v>
      </c>
      <c r="Z371" s="27">
        <v>4.4910607753846161</v>
      </c>
      <c r="AA371" s="27">
        <v>5.0524433723076934</v>
      </c>
      <c r="AB371" s="25"/>
      <c r="AC371" s="25">
        <v>430</v>
      </c>
      <c r="AD371" s="27">
        <v>4.0244570584615387</v>
      </c>
      <c r="AE371" s="27">
        <v>4.6951999015384613</v>
      </c>
      <c r="AF371" s="27">
        <v>5.3659427446153849</v>
      </c>
      <c r="AG371" s="28">
        <v>6.0366855876923076</v>
      </c>
    </row>
    <row r="372" spans="1:33">
      <c r="A372" s="30" t="s">
        <v>100</v>
      </c>
      <c r="B372" s="32">
        <v>1</v>
      </c>
      <c r="C372" s="60">
        <v>16</v>
      </c>
      <c r="D372" s="60">
        <v>46</v>
      </c>
      <c r="E372" s="59">
        <f t="shared" si="136"/>
        <v>24.108000000000001</v>
      </c>
      <c r="F372" s="59">
        <f>MIN(0.4*B372*C372*D372*E372/1000,B372*(1.15/1000*SQRT(2*I372*E372*C372)+((0.52*SQRT(C372)*D372^0.9*$B$360^0.8)/1000)/4))</f>
        <v>7.0973952000000011</v>
      </c>
      <c r="G372" s="49" t="s">
        <v>93</v>
      </c>
      <c r="H372" s="49"/>
      <c r="I372" s="98">
        <f>0.15*600*C372^2.6</f>
        <v>121605.84905682993</v>
      </c>
      <c r="L372" s="2"/>
      <c r="O372" s="92"/>
      <c r="P372" s="92"/>
      <c r="W372" s="23">
        <v>450</v>
      </c>
      <c r="X372" s="27">
        <v>3.5249604923076929</v>
      </c>
      <c r="Y372" s="27">
        <v>4.1124539076923083</v>
      </c>
      <c r="Z372" s="27">
        <v>4.6999473230769242</v>
      </c>
      <c r="AA372" s="27">
        <v>5.2874407384615392</v>
      </c>
      <c r="AB372" s="25"/>
      <c r="AC372" s="25">
        <v>450</v>
      </c>
      <c r="AD372" s="27">
        <v>4.2116411076923068</v>
      </c>
      <c r="AE372" s="27">
        <v>4.9135812923076925</v>
      </c>
      <c r="AF372" s="27">
        <v>5.6155214769230772</v>
      </c>
      <c r="AG372" s="28">
        <v>6.317461661538462</v>
      </c>
    </row>
    <row r="373" spans="1:33">
      <c r="A373" s="30" t="s">
        <v>101</v>
      </c>
      <c r="B373" s="32">
        <v>1</v>
      </c>
      <c r="C373" s="60">
        <v>16</v>
      </c>
      <c r="D373" s="60">
        <v>45</v>
      </c>
      <c r="E373" s="59">
        <f t="shared" si="136"/>
        <v>24.108000000000001</v>
      </c>
      <c r="F373" s="59">
        <f>MIN(0.4*B373*C373*D373*E373/1000,B373*(1.15/1000*SQRT(2*I373*E373*C373)+((0.52*SQRT(C373)*D373^0.9*$B$360^0.8)/1000)/4))</f>
        <v>6.9431039999999999</v>
      </c>
      <c r="G373" s="49" t="s">
        <v>95</v>
      </c>
      <c r="H373" s="49"/>
      <c r="I373" s="98">
        <f t="shared" si="135"/>
        <v>121605.84905682993</v>
      </c>
      <c r="L373" s="2"/>
      <c r="O373" s="92"/>
      <c r="P373" s="92"/>
      <c r="W373" s="23">
        <v>400</v>
      </c>
      <c r="X373" s="27">
        <v>3.1332982153846158</v>
      </c>
      <c r="Y373" s="27">
        <v>3.6555145846153847</v>
      </c>
      <c r="Z373" s="27">
        <v>4.1777309538461544</v>
      </c>
      <c r="AA373" s="27">
        <v>4.6999473230769242</v>
      </c>
      <c r="AB373" s="25"/>
      <c r="AC373" s="25">
        <v>400</v>
      </c>
      <c r="AD373" s="27">
        <v>3.7436809846153851</v>
      </c>
      <c r="AE373" s="27">
        <v>4.3676278153846155</v>
      </c>
      <c r="AF373" s="27">
        <v>4.9915746461538477</v>
      </c>
      <c r="AG373" s="28">
        <v>5.6155214769230772</v>
      </c>
    </row>
    <row r="374" spans="1:33">
      <c r="A374" s="30" t="s">
        <v>102</v>
      </c>
      <c r="B374" s="32">
        <v>1</v>
      </c>
      <c r="C374" s="60">
        <v>10</v>
      </c>
      <c r="D374" s="60">
        <v>60</v>
      </c>
      <c r="E374" s="59">
        <f t="shared" si="136"/>
        <v>25.830000000000002</v>
      </c>
      <c r="F374" s="59">
        <f>MIN(0.4*B374*C374*D374*E374/1000,B374*(1.15/1000*SQRT(2*I374*E374*C374)+((0.52*SQRT(C374)*D374^0.9*$B$360^0.8)/1000)/4))</f>
        <v>6.1992000000000012</v>
      </c>
      <c r="G374" s="49" t="s">
        <v>93</v>
      </c>
      <c r="H374" s="49"/>
      <c r="I374" s="98">
        <v>35000</v>
      </c>
      <c r="L374" s="2"/>
      <c r="O374" s="92"/>
      <c r="P374" s="92"/>
      <c r="W374" s="99" t="s">
        <v>103</v>
      </c>
      <c r="X374" s="24"/>
      <c r="Y374" s="24"/>
      <c r="Z374" s="24"/>
      <c r="AA374" s="24"/>
      <c r="AB374" s="25"/>
      <c r="AC374" s="24" t="s">
        <v>104</v>
      </c>
      <c r="AD374" s="24"/>
      <c r="AE374" s="24"/>
      <c r="AF374" s="24"/>
      <c r="AG374" s="26"/>
    </row>
    <row r="375" spans="1:33">
      <c r="A375" s="30" t="s">
        <v>742</v>
      </c>
      <c r="B375" s="32">
        <v>1</v>
      </c>
      <c r="C375" s="60">
        <v>36</v>
      </c>
      <c r="D375" s="60">
        <v>65</v>
      </c>
      <c r="E375" s="59">
        <f t="shared" si="136"/>
        <v>18.368000000000002</v>
      </c>
      <c r="F375" s="59">
        <f>(0.4*B375*C375*D375*E375/1000)</f>
        <v>17.192447999999999</v>
      </c>
      <c r="G375" s="49" t="s">
        <v>93</v>
      </c>
      <c r="H375" s="49"/>
      <c r="I375" s="98"/>
      <c r="L375" s="2"/>
      <c r="O375" s="92"/>
      <c r="P375" s="92"/>
      <c r="W375" s="99"/>
      <c r="X375" s="24"/>
      <c r="Y375" s="24"/>
      <c r="Z375" s="24"/>
      <c r="AA375" s="24"/>
      <c r="AB375" s="25"/>
      <c r="AC375" s="24"/>
      <c r="AD375" s="24"/>
      <c r="AE375" s="24"/>
      <c r="AF375" s="24"/>
      <c r="AG375" s="26"/>
    </row>
    <row r="376" spans="1:33">
      <c r="A376" s="30" t="s">
        <v>751</v>
      </c>
      <c r="B376" s="32">
        <v>1</v>
      </c>
      <c r="C376" s="60">
        <v>25</v>
      </c>
      <c r="D376" s="60">
        <v>30</v>
      </c>
      <c r="E376" s="59">
        <f t="shared" si="136"/>
        <v>21.524999999999999</v>
      </c>
      <c r="F376" s="59">
        <f>(0.4*B376*C376*D376*E376/1000)</f>
        <v>6.4574999999999996</v>
      </c>
      <c r="G376" s="49" t="s">
        <v>93</v>
      </c>
      <c r="H376" s="49"/>
      <c r="I376" s="98"/>
      <c r="L376" s="2"/>
      <c r="O376" s="92"/>
      <c r="P376" s="92"/>
      <c r="W376" s="99"/>
      <c r="X376" s="24"/>
      <c r="Y376" s="24"/>
      <c r="Z376" s="24"/>
      <c r="AA376" s="24"/>
      <c r="AB376" s="25"/>
      <c r="AC376" s="24"/>
      <c r="AD376" s="24"/>
      <c r="AE376" s="24"/>
      <c r="AF376" s="24"/>
      <c r="AG376" s="26"/>
    </row>
    <row r="377" spans="1:33">
      <c r="A377" s="30" t="s">
        <v>105</v>
      </c>
      <c r="B377" s="32">
        <v>1</v>
      </c>
      <c r="C377" s="60">
        <v>16</v>
      </c>
      <c r="D377" s="60">
        <v>46</v>
      </c>
      <c r="E377" s="59">
        <f t="shared" si="136"/>
        <v>24.108000000000001</v>
      </c>
      <c r="F377" s="59">
        <f>MIN(0.4*B377*C377*D377*E377/1000,B377*(1.15/1000*SQRT(2*I377*E377*C377)+((0.52*SQRT(C377)*D377^0.9*$B$360^0.8)/1000)/4))</f>
        <v>7.0973952000000011</v>
      </c>
      <c r="G377" s="49"/>
      <c r="H377" s="49"/>
      <c r="I377" s="98">
        <f t="shared" si="135"/>
        <v>121605.84905682993</v>
      </c>
      <c r="W377" s="23">
        <v>350</v>
      </c>
      <c r="X377" s="27">
        <v>2.466435080370649</v>
      </c>
      <c r="Y377" s="27">
        <v>2.877507593765757</v>
      </c>
      <c r="Z377" s="27">
        <v>3.288580107160866</v>
      </c>
      <c r="AA377" s="27">
        <v>3.6996526205559737</v>
      </c>
      <c r="AB377" s="25"/>
      <c r="AC377" s="25">
        <v>350</v>
      </c>
      <c r="AD377" s="27">
        <v>3.2757208615384621</v>
      </c>
      <c r="AE377" s="27">
        <v>3.8216743384615386</v>
      </c>
      <c r="AF377" s="27">
        <v>4.3676278153846164</v>
      </c>
      <c r="AG377" s="28">
        <v>4.9135812923076925</v>
      </c>
    </row>
    <row r="378" spans="1:33">
      <c r="A378" s="30" t="s">
        <v>106</v>
      </c>
      <c r="B378" s="32">
        <v>1</v>
      </c>
      <c r="C378" s="60">
        <v>16</v>
      </c>
      <c r="D378" s="60">
        <v>46</v>
      </c>
      <c r="E378" s="59">
        <f>0.082*(1-0.01*C378)*$B$360/(1.35+0.015*C378)</f>
        <v>15.162264150943395</v>
      </c>
      <c r="F378" s="59">
        <f>MIN(0.4*B378*C378*D378*E378/1000,B378*(1.15/1000*SQRT(2*I378*E378*C378)+((0.52*SQRT(C378)*D378^0.9*$B$360^0.8)/1000)/4))</f>
        <v>4.463770566037736</v>
      </c>
      <c r="G378" s="49"/>
      <c r="H378" s="49"/>
      <c r="I378" s="98">
        <f t="shared" si="135"/>
        <v>121605.84905682993</v>
      </c>
      <c r="W378" s="23">
        <v>380</v>
      </c>
      <c r="X378" s="27">
        <v>2.6625242828383633</v>
      </c>
      <c r="Y378" s="27">
        <v>3.1062783299780903</v>
      </c>
      <c r="Z378" s="27">
        <v>3.5500323771178182</v>
      </c>
      <c r="AA378" s="27">
        <v>3.9937864242575456</v>
      </c>
      <c r="AB378" s="25"/>
      <c r="AC378" s="25">
        <v>380</v>
      </c>
      <c r="AD378" s="27">
        <v>3.5564969353846152</v>
      </c>
      <c r="AE378" s="27">
        <v>4.1492464246153844</v>
      </c>
      <c r="AF378" s="27">
        <v>4.7419959138461545</v>
      </c>
      <c r="AG378" s="28">
        <v>5.3347454030769228</v>
      </c>
    </row>
    <row r="379" spans="1:33">
      <c r="A379" s="100"/>
      <c r="B379" s="49"/>
      <c r="C379" s="49"/>
      <c r="D379" s="49"/>
      <c r="E379" s="49"/>
      <c r="F379" s="49"/>
      <c r="G379" s="49"/>
      <c r="H379" s="49"/>
      <c r="W379" s="23">
        <v>410</v>
      </c>
      <c r="X379" s="27">
        <v>2.8311444965563237</v>
      </c>
      <c r="Y379" s="27">
        <v>3.303001912649044</v>
      </c>
      <c r="Z379" s="27">
        <v>3.7748593287417651</v>
      </c>
      <c r="AA379" s="27">
        <v>4.2467167448344858</v>
      </c>
      <c r="AB379" s="25"/>
      <c r="AC379" s="25">
        <v>410</v>
      </c>
      <c r="AD379" s="27">
        <v>3.8372730092307696</v>
      </c>
      <c r="AE379" s="27">
        <v>4.4768185107692311</v>
      </c>
      <c r="AF379" s="27">
        <v>5.1163640123076934</v>
      </c>
      <c r="AG379" s="28">
        <v>5.7559095138461549</v>
      </c>
    </row>
    <row r="380" spans="1:33" ht="18">
      <c r="A380" s="101" t="s">
        <v>2</v>
      </c>
      <c r="B380" s="102" t="s">
        <v>41</v>
      </c>
      <c r="C380" s="102" t="s">
        <v>9</v>
      </c>
      <c r="D380" s="102" t="s">
        <v>107</v>
      </c>
      <c r="E380" s="102" t="s">
        <v>108</v>
      </c>
      <c r="F380" s="102" t="s">
        <v>77</v>
      </c>
      <c r="G380" s="102" t="s">
        <v>109</v>
      </c>
      <c r="H380" s="102" t="s">
        <v>110</v>
      </c>
      <c r="W380" s="23">
        <v>430</v>
      </c>
      <c r="X380" s="27">
        <v>2.9428539145083121</v>
      </c>
      <c r="Y380" s="27">
        <v>3.4333295669263642</v>
      </c>
      <c r="Z380" s="27">
        <v>3.9238052193444162</v>
      </c>
      <c r="AA380" s="27">
        <v>4.4142808717624682</v>
      </c>
      <c r="AB380" s="25"/>
      <c r="AC380" s="25">
        <v>430</v>
      </c>
      <c r="AD380" s="27">
        <v>4.0244570584615387</v>
      </c>
      <c r="AE380" s="27">
        <v>4.6951999015384613</v>
      </c>
      <c r="AF380" s="27">
        <v>5.3659427446153849</v>
      </c>
      <c r="AG380" s="28">
        <v>6.0366855876923076</v>
      </c>
    </row>
    <row r="381" spans="1:33">
      <c r="A381" s="42"/>
      <c r="B381" s="44" t="s">
        <v>19</v>
      </c>
      <c r="C381" s="44" t="s">
        <v>18</v>
      </c>
      <c r="D381" s="44" t="s">
        <v>89</v>
      </c>
      <c r="E381" s="44" t="s">
        <v>88</v>
      </c>
      <c r="F381" s="44" t="s">
        <v>18</v>
      </c>
      <c r="G381" s="44" t="s">
        <v>17</v>
      </c>
      <c r="H381" s="44" t="s">
        <v>17</v>
      </c>
      <c r="W381" s="23">
        <v>450</v>
      </c>
      <c r="X381" s="27">
        <v>3.0540399285736144</v>
      </c>
      <c r="Y381" s="27">
        <v>3.5630465833358831</v>
      </c>
      <c r="Z381" s="27">
        <v>4.0720532380981531</v>
      </c>
      <c r="AA381" s="27">
        <v>4.5810598928604218</v>
      </c>
      <c r="AB381" s="25"/>
      <c r="AC381" s="25">
        <v>450</v>
      </c>
      <c r="AD381" s="27">
        <v>4.2116411076923068</v>
      </c>
      <c r="AE381" s="27">
        <v>4.9135812923076925</v>
      </c>
      <c r="AF381" s="27">
        <v>5.6155214769230772</v>
      </c>
      <c r="AG381" s="28">
        <v>6.317461661538462</v>
      </c>
    </row>
    <row r="382" spans="1:33">
      <c r="A382" s="30" t="s">
        <v>111</v>
      </c>
      <c r="B382" s="32">
        <v>3</v>
      </c>
      <c r="C382" s="60">
        <v>6</v>
      </c>
      <c r="D382" s="60">
        <v>6300</v>
      </c>
      <c r="E382" s="59">
        <f>(0.033+0.049)*$B$360*C382^-0.3</f>
        <v>16.766272546647741</v>
      </c>
      <c r="F382" s="60">
        <v>44</v>
      </c>
      <c r="G382" s="59">
        <f>(0.52*SQRT(C382)*44^0.9*$B$360^0.8)/1000</f>
        <v>4.1633297814663335</v>
      </c>
      <c r="H382" s="59">
        <f t="shared" ref="H382:H389" si="137">B382*MIN((2.3*SQRT(C382*D382*E382))/1000+G382/4,C382*E382*F382/1000,C382*E382*F382/1000*(SQRT(2+4*D382/(C382*E382*F382^2))-1)+G382/4)</f>
        <v>8.6155435327701344</v>
      </c>
      <c r="I382" t="s">
        <v>112</v>
      </c>
      <c r="W382" s="23">
        <v>400</v>
      </c>
      <c r="X382" s="27">
        <v>2.7750831585268934</v>
      </c>
      <c r="Y382" s="27">
        <v>3.237597018281376</v>
      </c>
      <c r="Z382" s="27">
        <v>3.7001108780358587</v>
      </c>
      <c r="AA382" s="27">
        <v>4.1626247377903409</v>
      </c>
      <c r="AB382" s="25"/>
      <c r="AC382" s="25">
        <v>400</v>
      </c>
      <c r="AD382" s="27">
        <v>3.7436809846153851</v>
      </c>
      <c r="AE382" s="27">
        <v>4.3676278153846155</v>
      </c>
      <c r="AF382" s="27">
        <v>4.9915746461538477</v>
      </c>
      <c r="AG382" s="28">
        <v>5.6155214769230772</v>
      </c>
    </row>
    <row r="383" spans="1:33">
      <c r="A383" s="30" t="s">
        <v>111</v>
      </c>
      <c r="B383" s="32">
        <v>3</v>
      </c>
      <c r="C383" s="60">
        <v>6</v>
      </c>
      <c r="D383" s="60">
        <v>6300</v>
      </c>
      <c r="E383" s="59">
        <f>(0.033+0.049)*$B$360*C383^-0.3</f>
        <v>16.766272546647741</v>
      </c>
      <c r="F383" s="60">
        <v>45</v>
      </c>
      <c r="G383" s="59">
        <f>(0.52*SQRT(C383)*44^0.9*$B$360^0.8)/1000</f>
        <v>4.1633297814663335</v>
      </c>
      <c r="H383" s="59">
        <f t="shared" ref="H383" si="138">B383*MIN((2.3*SQRT(C383*D383*E383))/1000+G383/4,C383*E383*F383/1000,C383*E383*F383/1000*(SQRT(2+4*D383/(C383*E383*F383^2))-1)+G383/4)</f>
        <v>8.6155435327701344</v>
      </c>
      <c r="I383" t="s">
        <v>112</v>
      </c>
      <c r="W383" s="23"/>
      <c r="X383" s="27"/>
      <c r="Y383" s="27"/>
      <c r="Z383" s="27"/>
      <c r="AA383" s="27"/>
      <c r="AB383" s="25"/>
      <c r="AC383" s="25"/>
      <c r="AD383" s="27"/>
      <c r="AE383" s="27"/>
      <c r="AF383" s="27"/>
      <c r="AG383" s="28"/>
    </row>
    <row r="384" spans="1:33">
      <c r="A384" s="30" t="s">
        <v>96</v>
      </c>
      <c r="B384" s="32">
        <v>3</v>
      </c>
      <c r="C384" s="60">
        <v>6</v>
      </c>
      <c r="D384" s="60">
        <v>6300</v>
      </c>
      <c r="E384" s="59">
        <f>(0.033)*$B$360*C384^-0.3</f>
        <v>6.7474023663338469</v>
      </c>
      <c r="F384" s="60">
        <v>44</v>
      </c>
      <c r="G384" s="59">
        <f>(0.52*SQRT(C384)*44^0.9*$B$360^0.8)/1000</f>
        <v>4.1633297814663335</v>
      </c>
      <c r="H384" s="59">
        <f t="shared" si="137"/>
        <v>5.3439426741364064</v>
      </c>
      <c r="W384" s="99" t="s">
        <v>113</v>
      </c>
      <c r="X384" s="24"/>
      <c r="Y384" s="24"/>
      <c r="Z384" s="24"/>
      <c r="AA384" s="24"/>
      <c r="AB384" s="25"/>
      <c r="AC384" s="24" t="s">
        <v>114</v>
      </c>
      <c r="AD384" s="24"/>
      <c r="AE384" s="24"/>
      <c r="AF384" s="24"/>
      <c r="AG384" s="26"/>
    </row>
    <row r="385" spans="1:33">
      <c r="A385" s="30" t="s">
        <v>115</v>
      </c>
      <c r="B385" s="32">
        <v>3</v>
      </c>
      <c r="C385" s="60">
        <v>10</v>
      </c>
      <c r="D385" s="60">
        <v>23900</v>
      </c>
      <c r="E385" s="59">
        <f>(0.033+0.049)*$B$360*C385^-0.3</f>
        <v>14.384073605102715</v>
      </c>
      <c r="F385" s="60">
        <v>54</v>
      </c>
      <c r="G385" s="59">
        <f>(0.52*SQRT(C385)*50^0.9*$B$360^0.8)/1000</f>
        <v>6.0301870404833755</v>
      </c>
      <c r="H385" s="59">
        <f t="shared" si="137"/>
        <v>16.001837621666112</v>
      </c>
      <c r="I385" t="s">
        <v>93</v>
      </c>
      <c r="W385" s="23">
        <v>350</v>
      </c>
      <c r="X385" s="27">
        <v>1.7919189140271494</v>
      </c>
      <c r="Y385" s="27">
        <v>2.0905720663650076</v>
      </c>
      <c r="Z385" s="27">
        <v>2.3892252187028662</v>
      </c>
      <c r="AA385" s="27">
        <v>2.6878783710407244</v>
      </c>
      <c r="AB385" s="25"/>
      <c r="AC385" s="25">
        <v>350</v>
      </c>
      <c r="AD385" s="27">
        <v>2.0602017997097244</v>
      </c>
      <c r="AE385" s="27">
        <v>2.4035687663280116</v>
      </c>
      <c r="AF385" s="27">
        <v>2.7469357329462993</v>
      </c>
      <c r="AG385" s="28">
        <v>3.0903026995645866</v>
      </c>
    </row>
    <row r="386" spans="1:33">
      <c r="A386" s="30" t="s">
        <v>115</v>
      </c>
      <c r="B386" s="32">
        <v>3</v>
      </c>
      <c r="C386" s="60">
        <v>10</v>
      </c>
      <c r="D386" s="60">
        <v>23900</v>
      </c>
      <c r="E386" s="59">
        <f>(0.033+0.049)*$B$360*C386^-0.3</f>
        <v>14.384073605102715</v>
      </c>
      <c r="F386" s="60">
        <v>54</v>
      </c>
      <c r="G386" s="59">
        <f>(0.52*SQRT(C386)*50^0.9*$B$360^0.8)/1000</f>
        <v>6.0301870404833755</v>
      </c>
      <c r="H386" s="59">
        <f t="shared" ref="H386" si="139">B386*MIN((2.3*SQRT(C386*D386*E386))/1000+G386/4,C386*E386*F386/1000,C386*E386*F386/1000*(SQRT(2+4*D386/(C386*E386*F386^2))-1)+G386/4)</f>
        <v>16.001837621666112</v>
      </c>
      <c r="W386" s="23"/>
      <c r="X386" s="27"/>
      <c r="Y386" s="27"/>
      <c r="Z386" s="27"/>
      <c r="AA386" s="27"/>
      <c r="AB386" s="25"/>
      <c r="AC386" s="25"/>
      <c r="AD386" s="27"/>
      <c r="AE386" s="27"/>
      <c r="AF386" s="27"/>
      <c r="AG386" s="28"/>
    </row>
    <row r="387" spans="1:33">
      <c r="A387" s="30" t="s">
        <v>115</v>
      </c>
      <c r="B387" s="32">
        <v>3</v>
      </c>
      <c r="C387" s="60">
        <v>6</v>
      </c>
      <c r="D387" s="60">
        <v>6300</v>
      </c>
      <c r="E387" s="59">
        <f>(0.033+0.049)*$B$360*C387^-0.3</f>
        <v>16.766272546647741</v>
      </c>
      <c r="F387" s="60">
        <v>44</v>
      </c>
      <c r="G387" s="59">
        <f>(0.52*SQRT(C387)*50^0.9*$B$360^0.8)/1000</f>
        <v>4.6709627964615814</v>
      </c>
      <c r="H387" s="59">
        <f t="shared" si="137"/>
        <v>8.9962682940165699</v>
      </c>
      <c r="I387" t="s">
        <v>93</v>
      </c>
      <c r="W387" s="23">
        <v>380</v>
      </c>
      <c r="X387" s="27">
        <v>1.9455119638009055</v>
      </c>
      <c r="Y387" s="27">
        <v>2.2697639577677231</v>
      </c>
      <c r="Z387" s="27">
        <v>2.5940159517345407</v>
      </c>
      <c r="AA387" s="27">
        <v>2.9182679457013583</v>
      </c>
      <c r="AB387" s="25"/>
      <c r="AC387" s="25">
        <v>380</v>
      </c>
      <c r="AD387" s="27">
        <v>2.2367905253991291</v>
      </c>
      <c r="AE387" s="27">
        <v>2.6095889462989836</v>
      </c>
      <c r="AF387" s="27">
        <v>2.982387367198839</v>
      </c>
      <c r="AG387" s="28">
        <v>3.3551857880986939</v>
      </c>
    </row>
    <row r="388" spans="1:33">
      <c r="A388" s="30" t="s">
        <v>115</v>
      </c>
      <c r="B388" s="32">
        <v>3</v>
      </c>
      <c r="C388" s="60">
        <v>10</v>
      </c>
      <c r="D388" s="60">
        <v>23900</v>
      </c>
      <c r="E388" s="59">
        <f>(0.033+0.049)*$B$360*C388^-0.3</f>
        <v>14.384073605102715</v>
      </c>
      <c r="F388" s="60">
        <v>45</v>
      </c>
      <c r="G388" s="59">
        <f>(0.52*SQRT(C388)*50^0.9*$B$360^0.8)/1000</f>
        <v>6.0301870404833755</v>
      </c>
      <c r="H388" s="59">
        <f t="shared" si="137"/>
        <v>14.733801806268685</v>
      </c>
      <c r="I388" t="s">
        <v>95</v>
      </c>
      <c r="W388" s="23">
        <v>410</v>
      </c>
      <c r="X388" s="27">
        <v>2.0991050135746607</v>
      </c>
      <c r="Y388" s="27">
        <v>2.4489558491704377</v>
      </c>
      <c r="Z388" s="27">
        <v>2.7988066847662147</v>
      </c>
      <c r="AA388" s="27">
        <v>3.1486575203619913</v>
      </c>
      <c r="AB388" s="25"/>
      <c r="AC388" s="25">
        <v>410</v>
      </c>
      <c r="AD388" s="27">
        <v>2.4133792510885339</v>
      </c>
      <c r="AE388" s="27">
        <v>2.8156091262699561</v>
      </c>
      <c r="AF388" s="27">
        <v>3.2178390014513791</v>
      </c>
      <c r="AG388" s="28">
        <v>3.6200688766328009</v>
      </c>
    </row>
    <row r="389" spans="1:33">
      <c r="A389" s="30" t="s">
        <v>116</v>
      </c>
      <c r="B389" s="32">
        <v>3</v>
      </c>
      <c r="C389" s="60">
        <v>10</v>
      </c>
      <c r="D389" s="60">
        <v>23900</v>
      </c>
      <c r="E389" s="59">
        <f>(0.033)*$B$360*C389^-0.3</f>
        <v>5.7887125483949946</v>
      </c>
      <c r="F389" s="60">
        <v>55</v>
      </c>
      <c r="G389" s="59">
        <f>(0.52*SQRT(C389)*50^0.9*$B$360^0.8)/1000</f>
        <v>6.0301870404833755</v>
      </c>
      <c r="H389" s="59">
        <f t="shared" si="137"/>
        <v>9.5513757048517398</v>
      </c>
      <c r="W389" s="23">
        <v>430</v>
      </c>
      <c r="X389" s="27">
        <v>2.2015003800904984</v>
      </c>
      <c r="Y389" s="27">
        <v>2.5684171101055813</v>
      </c>
      <c r="Z389" s="27">
        <v>2.9353338401206646</v>
      </c>
      <c r="AA389" s="27">
        <v>3.3022505701357474</v>
      </c>
      <c r="AB389" s="25"/>
      <c r="AC389" s="25">
        <v>430</v>
      </c>
      <c r="AD389" s="27">
        <v>2.5311050682148037</v>
      </c>
      <c r="AE389" s="27">
        <v>2.9529559129172713</v>
      </c>
      <c r="AF389" s="27">
        <v>3.3748067576197389</v>
      </c>
      <c r="AG389" s="28">
        <v>3.7966576023222061</v>
      </c>
    </row>
    <row r="390" spans="1:33">
      <c r="A390" s="21"/>
      <c r="W390" s="23">
        <v>450</v>
      </c>
      <c r="X390" s="27">
        <v>2.3038957466063352</v>
      </c>
      <c r="Y390" s="27">
        <v>2.6878783710407244</v>
      </c>
      <c r="Z390" s="27">
        <v>3.0718609954751135</v>
      </c>
      <c r="AA390" s="27">
        <v>3.4558436199095031</v>
      </c>
      <c r="AB390" s="25"/>
      <c r="AC390" s="25">
        <v>450</v>
      </c>
      <c r="AD390" s="27">
        <v>2.648830885341074</v>
      </c>
      <c r="AE390" s="27">
        <v>3.0903026995645861</v>
      </c>
      <c r="AF390" s="27">
        <v>3.5317745137880991</v>
      </c>
      <c r="AG390" s="28">
        <v>3.9732463280116108</v>
      </c>
    </row>
    <row r="391" spans="1:33">
      <c r="A391" s="21"/>
      <c r="B391" s="71"/>
      <c r="F391" t="s">
        <v>69</v>
      </c>
      <c r="W391" s="23">
        <v>400</v>
      </c>
      <c r="X391" s="27">
        <v>2.0479073303167423</v>
      </c>
      <c r="Y391" s="27">
        <v>2.3892252187028657</v>
      </c>
      <c r="Z391" s="27">
        <v>2.7305431070889901</v>
      </c>
      <c r="AA391" s="27">
        <v>3.0718609954751135</v>
      </c>
      <c r="AB391" s="25"/>
      <c r="AC391" s="25">
        <v>400</v>
      </c>
      <c r="AD391" s="27">
        <v>2.354516342525399</v>
      </c>
      <c r="AE391" s="27">
        <v>2.7469357329462989</v>
      </c>
      <c r="AF391" s="27">
        <v>3.1393551233671988</v>
      </c>
      <c r="AG391" s="28">
        <v>3.5317745137880991</v>
      </c>
    </row>
    <row r="392" spans="1:33" ht="18">
      <c r="A392" s="3" t="s">
        <v>2</v>
      </c>
      <c r="B392" s="72" t="s">
        <v>117</v>
      </c>
      <c r="C392" s="72" t="s">
        <v>70</v>
      </c>
      <c r="D392" s="4" t="s">
        <v>71</v>
      </c>
      <c r="E392" s="72" t="s">
        <v>118</v>
      </c>
      <c r="F392" s="73" t="s">
        <v>81</v>
      </c>
      <c r="G392" s="74"/>
      <c r="H392" s="675" t="s">
        <v>119</v>
      </c>
      <c r="O392" s="3" t="s">
        <v>2</v>
      </c>
      <c r="P392" s="664" t="s">
        <v>74</v>
      </c>
      <c r="Q392" s="665"/>
      <c r="R392" s="665"/>
      <c r="S392" s="665"/>
      <c r="T392" s="666"/>
      <c r="W392" s="99" t="s">
        <v>120</v>
      </c>
      <c r="X392" s="24"/>
      <c r="Y392" s="24"/>
      <c r="Z392" s="24"/>
      <c r="AA392" s="24"/>
      <c r="AB392" s="25"/>
      <c r="AC392" s="24" t="s">
        <v>121</v>
      </c>
      <c r="AD392" s="24"/>
      <c r="AE392" s="24"/>
      <c r="AF392" s="24"/>
      <c r="AG392" s="26"/>
    </row>
    <row r="393" spans="1:33">
      <c r="A393" s="7"/>
      <c r="B393" s="75" t="s">
        <v>17</v>
      </c>
      <c r="C393" s="76" t="s">
        <v>17</v>
      </c>
      <c r="D393" s="8" t="s">
        <v>75</v>
      </c>
      <c r="E393" s="76" t="s">
        <v>17</v>
      </c>
      <c r="F393" s="77" t="s">
        <v>17</v>
      </c>
      <c r="G393" s="74"/>
      <c r="H393" s="675"/>
      <c r="O393" s="7"/>
      <c r="P393" s="87">
        <v>0.6</v>
      </c>
      <c r="Q393" s="87">
        <v>0.7</v>
      </c>
      <c r="R393" s="87">
        <v>0.8</v>
      </c>
      <c r="S393" s="87">
        <v>0.9</v>
      </c>
      <c r="T393" s="87">
        <v>1</v>
      </c>
      <c r="W393" s="23">
        <v>350</v>
      </c>
      <c r="X393" s="27">
        <v>1.7919189140271494</v>
      </c>
      <c r="Y393" s="27">
        <v>2.0905720663650076</v>
      </c>
      <c r="Z393" s="27">
        <v>2.3892252187028662</v>
      </c>
      <c r="AA393" s="27">
        <v>2.6878783710407244</v>
      </c>
      <c r="AB393" s="25"/>
      <c r="AC393" s="25">
        <v>350</v>
      </c>
      <c r="AD393" s="27">
        <v>2.0602017997097244</v>
      </c>
      <c r="AE393" s="27">
        <v>2.4035687663280116</v>
      </c>
      <c r="AF393" s="27">
        <v>2.7469357329462993</v>
      </c>
      <c r="AG393" s="28">
        <v>3.0903026995645866</v>
      </c>
    </row>
    <row r="394" spans="1:33">
      <c r="A394" s="41" t="s">
        <v>92</v>
      </c>
      <c r="B394" s="15">
        <f t="shared" ref="B394:B408" si="140">F364</f>
        <v>5.9402112000000011</v>
      </c>
      <c r="C394" s="15">
        <v>17</v>
      </c>
      <c r="D394" s="103">
        <v>0</v>
      </c>
      <c r="E394" s="15">
        <f>H382</f>
        <v>8.6155435327701344</v>
      </c>
      <c r="F394" s="16">
        <f t="shared" ref="F394:F408" si="141">MIN(B394,C394,E394)</f>
        <v>5.9402112000000011</v>
      </c>
      <c r="G394" t="s">
        <v>93</v>
      </c>
      <c r="O394" s="41" t="s">
        <v>92</v>
      </c>
      <c r="P394" s="81">
        <f>MIN(P$393*$B394/1.3,$C394/1,P$393*$E394/1.3)</f>
        <v>2.7416359384615387</v>
      </c>
      <c r="Q394" s="81">
        <f>MIN(Q$393*$B394/1.3,$C394/1,Q$393*$E394/1.3)</f>
        <v>3.1985752615384619</v>
      </c>
      <c r="R394" s="81">
        <f>MIN(R$393*$B394/1.3,$C394/1,R$393*$E394/1.3)</f>
        <v>3.6555145846153856</v>
      </c>
      <c r="S394" s="81">
        <f>MIN(S$393*$B394/1.3,$C394/1,S$393*$E394/1.3)</f>
        <v>4.1124539076923083</v>
      </c>
      <c r="T394" s="81">
        <f>MIN(T$393*$B394/1.3,$C394/1,T$393*$E394/1.3)</f>
        <v>4.5693932307692311</v>
      </c>
      <c r="W394" s="23">
        <v>380</v>
      </c>
      <c r="X394" s="27">
        <v>1.9455119638009055</v>
      </c>
      <c r="Y394" s="27">
        <v>2.2697639577677231</v>
      </c>
      <c r="Z394" s="27">
        <v>2.5940159517345407</v>
      </c>
      <c r="AA394" s="27">
        <v>2.9182679457013583</v>
      </c>
      <c r="AB394" s="25"/>
      <c r="AC394" s="25">
        <v>380</v>
      </c>
      <c r="AD394" s="27">
        <v>2.2367905253991291</v>
      </c>
      <c r="AE394" s="27">
        <v>2.6095889462989836</v>
      </c>
      <c r="AF394" s="27">
        <v>2.982387367198839</v>
      </c>
      <c r="AG394" s="28">
        <v>3.3551857880986939</v>
      </c>
    </row>
    <row r="395" spans="1:33">
      <c r="A395" s="41" t="s">
        <v>94</v>
      </c>
      <c r="B395" s="15">
        <f t="shared" si="140"/>
        <v>5.4552960000000015</v>
      </c>
      <c r="C395" s="15">
        <v>17</v>
      </c>
      <c r="D395" s="103">
        <v>0</v>
      </c>
      <c r="E395" s="15">
        <f>H382</f>
        <v>8.6155435327701344</v>
      </c>
      <c r="F395" s="16">
        <f t="shared" si="141"/>
        <v>5.4552960000000015</v>
      </c>
      <c r="G395" t="s">
        <v>95</v>
      </c>
      <c r="H395" s="35">
        <f>F395/F394</f>
        <v>0.91836734693877553</v>
      </c>
      <c r="O395" s="81"/>
      <c r="P395" s="81"/>
      <c r="Q395" s="81"/>
      <c r="R395" s="81"/>
      <c r="S395" s="81"/>
      <c r="T395" s="81"/>
      <c r="W395" s="23">
        <v>410</v>
      </c>
      <c r="X395" s="27">
        <v>2.0991050135746607</v>
      </c>
      <c r="Y395" s="27">
        <v>2.4489558491704377</v>
      </c>
      <c r="Z395" s="27">
        <v>2.7988066847662147</v>
      </c>
      <c r="AA395" s="27">
        <v>3.1486575203619913</v>
      </c>
      <c r="AB395" s="25"/>
      <c r="AC395" s="25">
        <v>410</v>
      </c>
      <c r="AD395" s="27">
        <v>2.4133792510885339</v>
      </c>
      <c r="AE395" s="27">
        <v>2.8156091262699561</v>
      </c>
      <c r="AF395" s="27">
        <v>3.2178390014513791</v>
      </c>
      <c r="AG395" s="28">
        <v>3.6200688766328009</v>
      </c>
    </row>
    <row r="396" spans="1:33">
      <c r="A396" s="41" t="s">
        <v>96</v>
      </c>
      <c r="B396" s="15">
        <f t="shared" si="140"/>
        <v>5.9402112000000011</v>
      </c>
      <c r="C396" s="15">
        <v>17</v>
      </c>
      <c r="D396" s="103">
        <v>0</v>
      </c>
      <c r="E396" s="15">
        <f>H384</f>
        <v>5.3439426741364064</v>
      </c>
      <c r="F396" s="16">
        <f t="shared" si="141"/>
        <v>5.3439426741364064</v>
      </c>
      <c r="G396" s="11"/>
      <c r="O396" s="81"/>
      <c r="P396" s="81"/>
      <c r="Q396" s="81"/>
      <c r="R396" s="81"/>
      <c r="S396" s="81"/>
      <c r="T396" s="81"/>
      <c r="W396" s="23">
        <v>430</v>
      </c>
      <c r="X396" s="27">
        <v>2.2015003800904984</v>
      </c>
      <c r="Y396" s="27">
        <v>2.5684171101055813</v>
      </c>
      <c r="Z396" s="27">
        <v>2.9353338401206646</v>
      </c>
      <c r="AA396" s="27">
        <v>3.3022505701357474</v>
      </c>
      <c r="AB396" s="25"/>
      <c r="AC396" s="25">
        <v>430</v>
      </c>
      <c r="AD396" s="27">
        <v>2.5311050682148037</v>
      </c>
      <c r="AE396" s="27">
        <v>2.9529559129172713</v>
      </c>
      <c r="AF396" s="27">
        <v>3.3748067576197389</v>
      </c>
      <c r="AG396" s="28">
        <v>3.7966576023222061</v>
      </c>
    </row>
    <row r="397" spans="1:33">
      <c r="A397" s="41" t="s">
        <v>97</v>
      </c>
      <c r="B397" s="15">
        <f t="shared" si="140"/>
        <v>3.8824909803921575</v>
      </c>
      <c r="C397" s="15">
        <v>17</v>
      </c>
      <c r="D397" s="103">
        <v>0</v>
      </c>
      <c r="E397" s="15">
        <f>H382</f>
        <v>8.6155435327701344</v>
      </c>
      <c r="F397" s="16">
        <f t="shared" si="141"/>
        <v>3.8824909803921575</v>
      </c>
      <c r="G397" s="11"/>
      <c r="O397" s="81"/>
      <c r="P397" s="81"/>
      <c r="Q397" s="81"/>
      <c r="R397" s="81"/>
      <c r="S397" s="81"/>
      <c r="T397" s="81"/>
      <c r="W397" s="23">
        <v>450</v>
      </c>
      <c r="X397" s="27">
        <v>2.3038957466063352</v>
      </c>
      <c r="Y397" s="27">
        <v>2.6878783710407244</v>
      </c>
      <c r="Z397" s="27">
        <v>3.0718609954751135</v>
      </c>
      <c r="AA397" s="27">
        <v>3.4558436199095031</v>
      </c>
      <c r="AB397" s="25"/>
      <c r="AC397" s="25">
        <v>450</v>
      </c>
      <c r="AD397" s="27">
        <v>2.648830885341074</v>
      </c>
      <c r="AE397" s="27">
        <v>3.0903026995645861</v>
      </c>
      <c r="AF397" s="27">
        <v>3.5317745137880991</v>
      </c>
      <c r="AG397" s="28">
        <v>3.9732463280116108</v>
      </c>
    </row>
    <row r="398" spans="1:33">
      <c r="A398" s="41" t="s">
        <v>98</v>
      </c>
      <c r="B398" s="15">
        <f t="shared" si="140"/>
        <v>4.9316145996470588</v>
      </c>
      <c r="C398" s="15">
        <v>17</v>
      </c>
      <c r="D398" s="103">
        <v>0</v>
      </c>
      <c r="E398" s="15">
        <f>H382</f>
        <v>8.6155435327701344</v>
      </c>
      <c r="F398" s="16">
        <f t="shared" si="141"/>
        <v>4.9316145996470588</v>
      </c>
      <c r="G398" s="104"/>
      <c r="O398" s="81"/>
      <c r="P398" s="81"/>
      <c r="Q398" s="81"/>
      <c r="R398" s="81"/>
      <c r="S398" s="81"/>
      <c r="T398" s="81"/>
      <c r="W398" s="23"/>
      <c r="X398" s="27"/>
      <c r="Y398" s="27"/>
      <c r="Z398" s="27"/>
      <c r="AA398" s="27"/>
      <c r="AB398" s="25"/>
      <c r="AC398" s="25"/>
      <c r="AD398" s="27"/>
      <c r="AE398" s="27"/>
      <c r="AF398" s="27"/>
      <c r="AG398" s="28"/>
    </row>
    <row r="399" spans="1:33">
      <c r="A399" s="41" t="s">
        <v>741</v>
      </c>
      <c r="B399" s="15">
        <f t="shared" si="140"/>
        <v>13.259399999999999</v>
      </c>
      <c r="C399" s="15">
        <v>17</v>
      </c>
      <c r="D399" s="103"/>
      <c r="E399" s="15">
        <f>H383</f>
        <v>8.6155435327701344</v>
      </c>
      <c r="F399" s="16">
        <f t="shared" si="141"/>
        <v>8.6155435327701344</v>
      </c>
      <c r="G399" s="104"/>
      <c r="O399" s="81"/>
      <c r="P399" s="81"/>
      <c r="Q399" s="81"/>
      <c r="R399" s="81"/>
      <c r="S399" s="81"/>
      <c r="T399" s="81"/>
      <c r="W399" s="23"/>
      <c r="X399" s="27"/>
      <c r="Y399" s="27"/>
      <c r="Z399" s="27"/>
      <c r="AA399" s="27"/>
      <c r="AB399" s="25"/>
      <c r="AC399" s="25"/>
      <c r="AD399" s="27"/>
      <c r="AE399" s="27"/>
      <c r="AF399" s="27"/>
      <c r="AG399" s="28"/>
    </row>
    <row r="400" spans="1:33">
      <c r="A400" s="41" t="s">
        <v>740</v>
      </c>
      <c r="B400" s="15">
        <f t="shared" si="140"/>
        <v>4.8264216000000015</v>
      </c>
      <c r="C400" s="15">
        <v>17</v>
      </c>
      <c r="D400" s="103"/>
      <c r="E400" s="15">
        <f>H383</f>
        <v>8.6155435327701344</v>
      </c>
      <c r="F400" s="16">
        <f t="shared" si="141"/>
        <v>4.8264216000000015</v>
      </c>
      <c r="G400" s="104"/>
      <c r="O400" s="81"/>
      <c r="P400" s="81"/>
      <c r="Q400" s="81"/>
      <c r="R400" s="81"/>
      <c r="S400" s="81"/>
      <c r="T400" s="81"/>
      <c r="W400" s="23"/>
      <c r="X400" s="27"/>
      <c r="Y400" s="27"/>
      <c r="Z400" s="27"/>
      <c r="AA400" s="27"/>
      <c r="AB400" s="25"/>
      <c r="AC400" s="25"/>
      <c r="AD400" s="27"/>
      <c r="AE400" s="27"/>
      <c r="AF400" s="27"/>
      <c r="AG400" s="28"/>
    </row>
    <row r="401" spans="1:33" ht="15.75" thickBot="1">
      <c r="A401" s="41" t="s">
        <v>99</v>
      </c>
      <c r="B401" s="15">
        <f t="shared" si="140"/>
        <v>7.0973952000000011</v>
      </c>
      <c r="C401" s="15">
        <v>17</v>
      </c>
      <c r="D401" s="103">
        <v>0</v>
      </c>
      <c r="E401" s="15">
        <f>H385</f>
        <v>16.001837621666112</v>
      </c>
      <c r="F401" s="16">
        <f t="shared" si="141"/>
        <v>7.0973952000000011</v>
      </c>
      <c r="G401" t="s">
        <v>93</v>
      </c>
      <c r="H401" s="2"/>
      <c r="I401" s="2"/>
      <c r="J401" s="2"/>
      <c r="O401" s="41" t="s">
        <v>99</v>
      </c>
      <c r="P401" s="81">
        <f>MIN(P$393*$B401/1.3,$C401/1,P$393*$E401/1.3)</f>
        <v>3.2757208615384621</v>
      </c>
      <c r="Q401" s="81">
        <f>MIN(Q$393*$B401/1.3,$C401/1,Q$393*$E401/1.3)</f>
        <v>3.8216743384615386</v>
      </c>
      <c r="R401" s="81">
        <f>MIN(R$393*$B401/1.3,$C401/1,R$393*$E401/1.3)</f>
        <v>4.3676278153846164</v>
      </c>
      <c r="S401" s="81">
        <f>MIN(S$393*$B401/1.3,$C401/1,S$393*$E401/1.3)</f>
        <v>4.9135812923076925</v>
      </c>
      <c r="T401" s="81">
        <f>MIN(T$393*$B401/1.3,$C401/1,T$393*$E401/1.3)</f>
        <v>5.4595347692307703</v>
      </c>
      <c r="W401" s="51">
        <v>400</v>
      </c>
      <c r="X401" s="52">
        <v>2.0479073303167423</v>
      </c>
      <c r="Y401" s="52">
        <v>2.3892252187028657</v>
      </c>
      <c r="Z401" s="52">
        <v>2.7305431070889901</v>
      </c>
      <c r="AA401" s="52">
        <v>3.0718609954751135</v>
      </c>
      <c r="AB401" s="53"/>
      <c r="AC401" s="53">
        <v>400</v>
      </c>
      <c r="AD401" s="52">
        <v>2.354516342525399</v>
      </c>
      <c r="AE401" s="52">
        <v>2.7469357329462989</v>
      </c>
      <c r="AF401" s="52">
        <v>3.1393551233671988</v>
      </c>
      <c r="AG401" s="54">
        <v>3.5317745137880991</v>
      </c>
    </row>
    <row r="402" spans="1:33">
      <c r="A402" s="41" t="s">
        <v>100</v>
      </c>
      <c r="B402" s="15">
        <f t="shared" si="140"/>
        <v>7.0973952000000011</v>
      </c>
      <c r="C402" s="15">
        <v>17</v>
      </c>
      <c r="D402" s="103">
        <v>0</v>
      </c>
      <c r="E402" s="15">
        <f>H387</f>
        <v>8.9962682940165699</v>
      </c>
      <c r="F402" s="16">
        <f t="shared" si="141"/>
        <v>7.0973952000000011</v>
      </c>
      <c r="G402" t="s">
        <v>93</v>
      </c>
      <c r="H402" s="2"/>
      <c r="I402" s="2"/>
      <c r="J402" s="2"/>
      <c r="P402" s="105"/>
      <c r="Q402" s="105"/>
      <c r="R402" s="105"/>
      <c r="S402" s="105"/>
    </row>
    <row r="403" spans="1:33">
      <c r="A403" s="41" t="s">
        <v>101</v>
      </c>
      <c r="B403" s="15">
        <f t="shared" si="140"/>
        <v>6.9431039999999999</v>
      </c>
      <c r="C403" s="15">
        <v>17</v>
      </c>
      <c r="D403" s="103">
        <v>0</v>
      </c>
      <c r="E403" s="15">
        <f>H388</f>
        <v>14.733801806268685</v>
      </c>
      <c r="F403" s="16">
        <f t="shared" si="141"/>
        <v>6.9431039999999999</v>
      </c>
      <c r="G403" t="s">
        <v>95</v>
      </c>
      <c r="H403" s="106">
        <f>F403/F401</f>
        <v>0.97826086956521718</v>
      </c>
      <c r="I403" s="2"/>
      <c r="J403" s="2"/>
      <c r="P403" s="105"/>
      <c r="Q403" s="105"/>
      <c r="R403" s="105"/>
      <c r="S403" s="105"/>
    </row>
    <row r="404" spans="1:33">
      <c r="A404" s="41" t="s">
        <v>102</v>
      </c>
      <c r="B404" s="15">
        <f t="shared" si="140"/>
        <v>6.1992000000000012</v>
      </c>
      <c r="C404" s="15">
        <v>17</v>
      </c>
      <c r="D404" s="103">
        <v>0</v>
      </c>
      <c r="E404" s="15">
        <f>H385</f>
        <v>16.001837621666112</v>
      </c>
      <c r="F404" s="16">
        <f t="shared" si="141"/>
        <v>6.1992000000000012</v>
      </c>
      <c r="G404" t="s">
        <v>93</v>
      </c>
      <c r="H404" s="106">
        <f>F404/F401</f>
        <v>0.87344720496894412</v>
      </c>
      <c r="I404" s="2"/>
      <c r="J404" s="2"/>
      <c r="P404" s="105"/>
      <c r="Q404" s="105"/>
      <c r="R404" s="105"/>
      <c r="S404" s="105"/>
    </row>
    <row r="405" spans="1:33">
      <c r="A405" s="41" t="s">
        <v>742</v>
      </c>
      <c r="B405" s="15">
        <f t="shared" si="140"/>
        <v>17.192447999999999</v>
      </c>
      <c r="C405" s="15">
        <v>17</v>
      </c>
      <c r="D405" s="103">
        <v>0</v>
      </c>
      <c r="E405" s="15">
        <f>H386</f>
        <v>16.001837621666112</v>
      </c>
      <c r="F405" s="16">
        <f t="shared" si="141"/>
        <v>16.001837621666112</v>
      </c>
      <c r="H405" s="106"/>
      <c r="I405" s="2"/>
      <c r="J405" s="2"/>
      <c r="P405" s="105"/>
      <c r="Q405" s="105"/>
      <c r="R405" s="105"/>
      <c r="S405" s="105"/>
    </row>
    <row r="406" spans="1:33">
      <c r="A406" s="41" t="s">
        <v>752</v>
      </c>
      <c r="B406" s="15">
        <f t="shared" si="140"/>
        <v>6.4574999999999996</v>
      </c>
      <c r="C406" s="15">
        <v>17</v>
      </c>
      <c r="D406" s="103"/>
      <c r="E406" s="15">
        <f>H386</f>
        <v>16.001837621666112</v>
      </c>
      <c r="F406" s="16">
        <f t="shared" si="141"/>
        <v>6.4574999999999996</v>
      </c>
      <c r="H406" s="106"/>
      <c r="I406" s="2"/>
      <c r="J406" s="2"/>
      <c r="P406" s="105"/>
      <c r="Q406" s="105"/>
      <c r="R406" s="105"/>
      <c r="S406" s="105"/>
    </row>
    <row r="407" spans="1:33">
      <c r="A407" s="41" t="s">
        <v>105</v>
      </c>
      <c r="B407" s="15">
        <f t="shared" si="140"/>
        <v>7.0973952000000011</v>
      </c>
      <c r="C407" s="15">
        <v>17</v>
      </c>
      <c r="D407" s="103">
        <v>0</v>
      </c>
      <c r="E407" s="15">
        <f>H389</f>
        <v>9.5513757048517398</v>
      </c>
      <c r="F407" s="16">
        <f t="shared" si="141"/>
        <v>7.0973952000000011</v>
      </c>
      <c r="G407" s="104"/>
      <c r="H407" s="2"/>
      <c r="I407" s="2"/>
      <c r="J407" s="2"/>
      <c r="P407" s="105"/>
      <c r="Q407" s="105"/>
      <c r="R407" s="105"/>
      <c r="S407" s="105"/>
    </row>
    <row r="408" spans="1:33">
      <c r="A408" s="41" t="s">
        <v>122</v>
      </c>
      <c r="B408" s="15">
        <f t="shared" si="140"/>
        <v>4.463770566037736</v>
      </c>
      <c r="C408" s="15">
        <v>17</v>
      </c>
      <c r="D408" s="103">
        <v>0</v>
      </c>
      <c r="E408" s="15">
        <f>H385</f>
        <v>16.001837621666112</v>
      </c>
      <c r="F408" s="16">
        <f t="shared" si="141"/>
        <v>4.463770566037736</v>
      </c>
      <c r="G408" s="107"/>
      <c r="H408" s="92"/>
      <c r="I408" s="92"/>
      <c r="J408" s="92"/>
    </row>
    <row r="409" spans="1:33">
      <c r="B409" s="2"/>
      <c r="C409" s="107"/>
      <c r="D409" s="92"/>
      <c r="E409" s="92"/>
      <c r="F409" s="2"/>
      <c r="G409" s="107"/>
      <c r="H409" s="92"/>
      <c r="I409" s="92"/>
      <c r="J409" s="92"/>
    </row>
    <row r="410" spans="1:33">
      <c r="B410" s="2"/>
      <c r="C410" s="107"/>
      <c r="D410" s="92"/>
      <c r="E410" s="92"/>
      <c r="F410" s="2"/>
      <c r="G410" s="107"/>
      <c r="H410" s="92"/>
      <c r="I410" s="92"/>
      <c r="J410" s="92"/>
    </row>
    <row r="411" spans="1:33">
      <c r="A411" s="21"/>
      <c r="B411" s="71"/>
    </row>
    <row r="414" spans="1:33" ht="26.25">
      <c r="A414" s="1" t="s">
        <v>123</v>
      </c>
    </row>
    <row r="415" spans="1:33" ht="23.25">
      <c r="A415" s="1"/>
    </row>
    <row r="416" spans="1:33" ht="18.75">
      <c r="A416" s="50" t="s">
        <v>1260</v>
      </c>
    </row>
    <row r="417" spans="1:10" ht="18.75">
      <c r="A417" s="50"/>
    </row>
    <row r="418" spans="1:10">
      <c r="A418" s="19" t="s">
        <v>35</v>
      </c>
      <c r="B418" s="20" t="s">
        <v>25</v>
      </c>
    </row>
    <row r="419" spans="1:10" ht="18">
      <c r="A419" s="21" t="s">
        <v>37</v>
      </c>
      <c r="B419">
        <f>VLOOKUP(B418,$V$7:$W$18,2,FALSE)</f>
        <v>385</v>
      </c>
      <c r="C419" t="s">
        <v>38</v>
      </c>
    </row>
    <row r="420" spans="1:10" ht="18">
      <c r="A420" s="21" t="s">
        <v>59</v>
      </c>
      <c r="B420" s="49">
        <v>23900</v>
      </c>
      <c r="C420" t="s">
        <v>60</v>
      </c>
    </row>
    <row r="421" spans="1:10">
      <c r="A421" s="21" t="s">
        <v>61</v>
      </c>
      <c r="B421" s="49">
        <v>10</v>
      </c>
      <c r="C421" t="s">
        <v>62</v>
      </c>
    </row>
    <row r="422" spans="1:10" ht="18">
      <c r="A422" s="21" t="s">
        <v>63</v>
      </c>
      <c r="B422" s="93">
        <f>0.033*B419*B421^-0.3</f>
        <v>6.3675838032344938</v>
      </c>
      <c r="C422" t="s">
        <v>64</v>
      </c>
    </row>
    <row r="423" spans="1:10" ht="18">
      <c r="A423" s="21" t="s">
        <v>65</v>
      </c>
      <c r="B423" s="70">
        <f>0.082*B421^-0.3*B419</f>
        <v>15.822480965612984</v>
      </c>
      <c r="C423" t="s">
        <v>64</v>
      </c>
    </row>
    <row r="424" spans="1:10" ht="18.75">
      <c r="A424" s="50"/>
    </row>
    <row r="426" spans="1:10" ht="18">
      <c r="A426" s="3" t="s">
        <v>2</v>
      </c>
      <c r="B426" s="4" t="s">
        <v>41</v>
      </c>
      <c r="C426" s="4" t="s">
        <v>42</v>
      </c>
      <c r="D426" s="4" t="s">
        <v>56</v>
      </c>
      <c r="E426" s="4" t="s">
        <v>57</v>
      </c>
      <c r="F426" s="4" t="s">
        <v>41</v>
      </c>
      <c r="G426" s="4" t="s">
        <v>42</v>
      </c>
      <c r="H426" s="4" t="s">
        <v>56</v>
      </c>
      <c r="I426" s="4" t="s">
        <v>57</v>
      </c>
      <c r="J426" s="4" t="s">
        <v>58</v>
      </c>
    </row>
    <row r="427" spans="1:10">
      <c r="A427" s="7"/>
      <c r="B427" s="8" t="s">
        <v>19</v>
      </c>
      <c r="C427" s="8" t="s">
        <v>18</v>
      </c>
      <c r="D427" s="8" t="s">
        <v>17</v>
      </c>
      <c r="E427" s="8" t="s">
        <v>17</v>
      </c>
      <c r="F427" s="8" t="s">
        <v>19</v>
      </c>
      <c r="G427" s="8" t="s">
        <v>18</v>
      </c>
      <c r="H427" s="8" t="s">
        <v>17</v>
      </c>
      <c r="I427" s="8" t="s">
        <v>17</v>
      </c>
      <c r="J427" s="56" t="s">
        <v>17</v>
      </c>
    </row>
    <row r="428" spans="1:10" ht="45">
      <c r="A428" s="62" t="s">
        <v>344</v>
      </c>
      <c r="B428" s="63">
        <v>1</v>
      </c>
      <c r="C428" s="57">
        <v>84</v>
      </c>
      <c r="D428" s="58">
        <f>($H$431*0.52*SQRT($B$421)*84^0.9*$B$419^0.8)/1000</f>
        <v>6.2283718772573966</v>
      </c>
      <c r="E428" s="58">
        <f>MIN(C428*$B$421*$B$422/1000,(2.3*SQRT($B$420*$B$422*$B$421))/1000+D428/4,C428*$B$421*$B$422/1000*(SQRT(2+4*$B$420/(C428^2*$B$421*$B$422))-1)+D428/4)</f>
        <v>4.1648356039773766</v>
      </c>
      <c r="F428" s="63">
        <v>2</v>
      </c>
      <c r="G428" s="57">
        <v>84</v>
      </c>
      <c r="H428" s="58">
        <f>($H$431*0.52*SQRT($B$421)*84^0.9*$B$419^0.8)/1000</f>
        <v>6.2283718772573966</v>
      </c>
      <c r="I428" s="58">
        <f>MIN(G428*$B$421*$B$422/1000,(2.3*SQRT($B$420*$B$422*$B$421))/1000+H428/4,G428*$B$421*$B$422/1000*(SQRT(2+4*$B$420/(G428^2*$B$421*$B$422))-1)+H428/4)</f>
        <v>4.1648356039773766</v>
      </c>
      <c r="J428" s="58">
        <f>E428*B428+F428*I428</f>
        <v>12.49450681193213</v>
      </c>
    </row>
    <row r="429" spans="1:10" ht="45">
      <c r="A429" s="62" t="s">
        <v>343</v>
      </c>
      <c r="B429" s="63">
        <v>1</v>
      </c>
      <c r="C429" s="57">
        <v>84</v>
      </c>
      <c r="D429" s="58">
        <f>($H$431*0.52*SQRT($B$421)*84^0.9*$B$419^0.8)/1000</f>
        <v>6.2283718772573966</v>
      </c>
      <c r="E429" s="58">
        <f>MIN(C429*$B$421*$B$422/1000,(2.3*SQRT($B$420*$B$422*$B$421))/1000+D429/4,C429*$B$421*$B$422/1000*(SQRT(2+4*$B$420/(C429^2*$B$421*$B$422))-1)+D429/4)</f>
        <v>4.1648356039773766</v>
      </c>
      <c r="F429" s="63">
        <v>3</v>
      </c>
      <c r="G429" s="57">
        <v>84</v>
      </c>
      <c r="H429" s="58">
        <f>($H$431*0.52*SQRT($B$421)*84^0.9*$B$419^0.8)/1000</f>
        <v>6.2283718772573966</v>
      </c>
      <c r="I429" s="58">
        <f>MIN(G429*$B$421*$B$422/1000,(2.3*SQRT($B$420*$B$422*$B$421))/1000+H429/4,G429*$B$421*$B$422/1000*(SQRT(2+4*$B$420/(G429^2*$B$421*$B$422))-1)+H429/4)</f>
        <v>4.1648356039773766</v>
      </c>
      <c r="J429" s="58">
        <f>E429*B429+F429*I429</f>
        <v>16.659342415909506</v>
      </c>
    </row>
    <row r="430" spans="1:10" ht="45">
      <c r="A430" s="62" t="s">
        <v>345</v>
      </c>
      <c r="B430" s="63">
        <v>1</v>
      </c>
      <c r="C430" s="57">
        <v>84</v>
      </c>
      <c r="D430" s="58">
        <f>($H$431*0.52*SQRT($B$421)*84^0.9*$B$419^0.8)/1000</f>
        <v>6.2283718772573966</v>
      </c>
      <c r="E430" s="58">
        <f>MIN(C430*$B$421*$B$422/1000,(2.3*SQRT($B$420*$B$422*$B$421))/1000+D430/4,C430*$B$421*$B$422/1000*(SQRT(2+4*$B$420/(C430^2*$B$421*$B$422))-1)+D430/4)</f>
        <v>4.1648356039773766</v>
      </c>
      <c r="F430" s="63">
        <v>5</v>
      </c>
      <c r="G430" s="57">
        <v>84</v>
      </c>
      <c r="H430" s="58">
        <f>($H$431*0.52*SQRT($B$421)*84^0.9*$B$419^0.8)/1000</f>
        <v>6.2283718772573966</v>
      </c>
      <c r="I430" s="58">
        <f>MIN(G430*$B$421*$B$422/1000,(2.3*SQRT($B$420*$B$422*$B$421))/1000+H430/4,G430*$B$421*$B$422/1000*(SQRT(2+4*$B$420/(G430^2*$B$421*$B$422))-1)+H430/4)</f>
        <v>4.1648356039773766</v>
      </c>
      <c r="J430" s="58">
        <f>E430*B430+F430*I430</f>
        <v>24.98901362386426</v>
      </c>
    </row>
    <row r="431" spans="1:10">
      <c r="A431" s="83"/>
      <c r="B431" s="108"/>
      <c r="C431" s="109"/>
      <c r="D431" s="110"/>
      <c r="E431" s="110"/>
      <c r="F431" s="108"/>
      <c r="G431" s="109" t="s">
        <v>329</v>
      </c>
      <c r="H431" s="253">
        <v>0.6</v>
      </c>
      <c r="I431" s="110"/>
      <c r="J431" s="110"/>
    </row>
    <row r="432" spans="1:10">
      <c r="B432" s="108"/>
      <c r="C432" s="109"/>
      <c r="D432" s="110"/>
      <c r="E432" s="110"/>
      <c r="F432" s="108"/>
      <c r="G432" s="109"/>
      <c r="H432" s="110"/>
      <c r="I432" s="110"/>
      <c r="J432" s="110"/>
    </row>
    <row r="435" spans="1:20" ht="18">
      <c r="A435" s="3" t="s">
        <v>2</v>
      </c>
      <c r="B435" s="4" t="s">
        <v>41</v>
      </c>
      <c r="C435" s="4" t="s">
        <v>42</v>
      </c>
      <c r="D435" s="4" t="s">
        <v>66</v>
      </c>
      <c r="E435" s="4" t="s">
        <v>67</v>
      </c>
      <c r="F435" s="4" t="s">
        <v>41</v>
      </c>
      <c r="G435" s="4" t="s">
        <v>42</v>
      </c>
      <c r="H435" s="4" t="s">
        <v>66</v>
      </c>
      <c r="I435" s="4" t="s">
        <v>67</v>
      </c>
      <c r="J435" s="4" t="s">
        <v>68</v>
      </c>
    </row>
    <row r="436" spans="1:20">
      <c r="A436" s="7"/>
      <c r="B436" s="8" t="s">
        <v>19</v>
      </c>
      <c r="C436" s="8" t="s">
        <v>18</v>
      </c>
      <c r="D436" s="8" t="s">
        <v>17</v>
      </c>
      <c r="E436" s="8" t="s">
        <v>17</v>
      </c>
      <c r="F436" s="8" t="s">
        <v>19</v>
      </c>
      <c r="G436" s="8" t="s">
        <v>18</v>
      </c>
      <c r="H436" s="8" t="s">
        <v>17</v>
      </c>
      <c r="I436" s="8" t="s">
        <v>17</v>
      </c>
      <c r="J436" s="56" t="s">
        <v>17</v>
      </c>
    </row>
    <row r="437" spans="1:20" ht="45">
      <c r="A437" s="62" t="s">
        <v>344</v>
      </c>
      <c r="B437" s="63">
        <v>1</v>
      </c>
      <c r="C437" s="57">
        <v>54</v>
      </c>
      <c r="D437" s="58">
        <f>(0.52*SQRT($B$421)*C437^0.9*$B$419^0.8)/1000</f>
        <v>6.974712508553587</v>
      </c>
      <c r="E437" s="58">
        <f>MIN(C437*$B$421*$B$423/1000,(2.3*SQRT($B$420*$B$423*$B$421))/1000+D437/4,C437*$B$421*$B$423/1000*(SQRT(2+4*$B$420/(C437^2*$B$421*$B$423))-1)+D437/4)</f>
        <v>5.8932746154210731</v>
      </c>
      <c r="F437" s="63">
        <v>2</v>
      </c>
      <c r="G437" s="57">
        <v>54</v>
      </c>
      <c r="H437" s="58">
        <f>(0.52*SQRT($B$421)*G437^0.9*$B$419^0.8)/1000</f>
        <v>6.974712508553587</v>
      </c>
      <c r="I437" s="58">
        <f>MIN(G437*$B$421*$B$423/1000,(2.3*SQRT($B$420*$B$423*$B$421))/1000+H437/4,G437*$B$421*$B$423/1000*(SQRT(2+4*$B$420/(G437^2*$B$421*$B$423))-1)+H437/4)</f>
        <v>5.8932746154210731</v>
      </c>
      <c r="J437" s="58">
        <f>E437*B437+F437*I437</f>
        <v>17.679823846263218</v>
      </c>
    </row>
    <row r="438" spans="1:20" ht="45">
      <c r="A438" s="62" t="s">
        <v>343</v>
      </c>
      <c r="B438" s="63">
        <v>1</v>
      </c>
      <c r="C438" s="57">
        <v>54</v>
      </c>
      <c r="D438" s="58">
        <f>(0.52*SQRT($B$421)*C438^0.9*$B$419^0.8)/1000</f>
        <v>6.974712508553587</v>
      </c>
      <c r="E438" s="58">
        <f>MIN(C438*$B$421*$B$423/1000,(2.3*SQRT($B$420*$B$423*$B$421))/1000+D438/4,C438*$B$421*$B$423/1000*(SQRT(2+4*$B$420/(C438^2*$B$421*$B$423))-1)+D438/4)</f>
        <v>5.8932746154210731</v>
      </c>
      <c r="F438" s="63">
        <v>3</v>
      </c>
      <c r="G438" s="57">
        <v>54</v>
      </c>
      <c r="H438" s="58">
        <f>(0.52*SQRT($B$421)*G438^0.9*$B$419^0.8)/1000</f>
        <v>6.974712508553587</v>
      </c>
      <c r="I438" s="58">
        <f>MIN(G438*$B$421*$B$423/1000,(2.3*SQRT($B$420*$B$423*$B$421))/1000+H438/4,G438*$B$421*$B$423/1000*(SQRT(2+4*$B$420/(G438^2*$B$421*$B$423))-1)+H438/4)</f>
        <v>5.8932746154210731</v>
      </c>
      <c r="J438" s="58">
        <f>E438*B438+F438*I438</f>
        <v>23.573098461684292</v>
      </c>
    </row>
    <row r="439" spans="1:20" ht="45">
      <c r="A439" s="62" t="s">
        <v>345</v>
      </c>
      <c r="B439" s="63">
        <v>1</v>
      </c>
      <c r="C439" s="57">
        <v>54</v>
      </c>
      <c r="D439" s="58">
        <f>(0.52*SQRT($B$421)*C439^0.9*$B$419^0.8)/1000</f>
        <v>6.974712508553587</v>
      </c>
      <c r="E439" s="58">
        <f>MIN(C439*$B$421*$B$423/1000,(2.3*SQRT($B$420*$B$423*$B$421))/1000+D439/4,C439*$B$421*$B$423/1000*(SQRT(2+4*$B$420/(C439^2*$B$421*$B$423))-1)+D439/4)</f>
        <v>5.8932746154210731</v>
      </c>
      <c r="F439" s="63">
        <v>5</v>
      </c>
      <c r="G439" s="57">
        <v>54</v>
      </c>
      <c r="H439" s="58">
        <f>(0.52*SQRT($B$421)*G439^0.9*$B$419^0.8)/1000</f>
        <v>6.974712508553587</v>
      </c>
      <c r="I439" s="58">
        <f>MIN(G439*$B$421*$B$423/1000,(2.3*SQRT($B$420*$B$423*$B$421))/1000+H439/4,G439*$B$421*$B$423/1000*(SQRT(2+4*$B$420/(G439^2*$B$421*$B$423))-1)+H439/4)</f>
        <v>5.8932746154210731</v>
      </c>
      <c r="J439" s="58">
        <f>E439*B439+F439*I439</f>
        <v>35.359647692526437</v>
      </c>
    </row>
    <row r="440" spans="1:20">
      <c r="A440" s="21"/>
      <c r="B440" s="71"/>
    </row>
    <row r="441" spans="1:20">
      <c r="A441" s="21"/>
      <c r="B441" s="71"/>
      <c r="F441" t="s">
        <v>69</v>
      </c>
    </row>
    <row r="442" spans="1:20" ht="18">
      <c r="A442" s="3" t="s">
        <v>2</v>
      </c>
      <c r="B442" s="72" t="s">
        <v>58</v>
      </c>
      <c r="C442" s="72" t="s">
        <v>124</v>
      </c>
      <c r="D442" s="4" t="s">
        <v>125</v>
      </c>
      <c r="E442" s="72" t="s">
        <v>126</v>
      </c>
      <c r="F442" s="73" t="s">
        <v>127</v>
      </c>
      <c r="G442" s="74"/>
      <c r="O442" s="3" t="s">
        <v>2</v>
      </c>
      <c r="P442" s="664" t="s">
        <v>128</v>
      </c>
      <c r="Q442" s="665"/>
      <c r="R442" s="665"/>
      <c r="S442" s="665"/>
      <c r="T442" s="666"/>
    </row>
    <row r="443" spans="1:20">
      <c r="A443" s="7"/>
      <c r="B443" s="75" t="s">
        <v>17</v>
      </c>
      <c r="C443" s="76" t="s">
        <v>17</v>
      </c>
      <c r="D443" s="8" t="s">
        <v>75</v>
      </c>
      <c r="E443" s="76" t="s">
        <v>17</v>
      </c>
      <c r="F443" s="77" t="s">
        <v>17</v>
      </c>
      <c r="G443" s="74"/>
      <c r="O443" s="7"/>
      <c r="P443" s="87">
        <v>0.6</v>
      </c>
      <c r="Q443" s="87">
        <v>0.7</v>
      </c>
      <c r="R443" s="87">
        <v>0.8</v>
      </c>
      <c r="S443" s="87">
        <v>0.9</v>
      </c>
      <c r="T443" s="87">
        <v>1</v>
      </c>
    </row>
    <row r="444" spans="1:20" ht="45">
      <c r="A444" s="62" t="s">
        <v>344</v>
      </c>
      <c r="B444" s="58">
        <f>J428</f>
        <v>12.49450681193213</v>
      </c>
      <c r="C444" s="58">
        <v>12</v>
      </c>
      <c r="D444" s="78">
        <v>2.5499999999999998</v>
      </c>
      <c r="E444" s="58">
        <f>1/(SQRT((1/J437)^2+(1/(D444*D437))^2))</f>
        <v>12.538724423543149</v>
      </c>
      <c r="F444" s="254">
        <f>MIN(B444,E444)</f>
        <v>12.49450681193213</v>
      </c>
      <c r="G444" s="82"/>
      <c r="O444" s="62" t="s">
        <v>344</v>
      </c>
      <c r="P444" s="81">
        <f>MIN(P$443*$B444/1.3,$C444/1.25,P$443*$E444/1.3)</f>
        <v>5.7666954516609827</v>
      </c>
      <c r="Q444" s="81">
        <f>MIN(Q$443*$B444/1.3,$C444/1.25,Q$443*$E444/1.3)</f>
        <v>6.7278113602711462</v>
      </c>
      <c r="R444" s="81">
        <f>MIN(R$443*$B444/1.3,$C444/1.25,R$443*$E444/1.3)</f>
        <v>7.6889272688813115</v>
      </c>
      <c r="S444" s="81">
        <f>MIN(S$443*$B444/1.3,$C444/1.25,S$443*$E444/1.3)</f>
        <v>8.6500431774914741</v>
      </c>
      <c r="T444" s="81">
        <f>MIN(T$443*$B444/1.3,$C444/1.25,T$443*$E444/1.3)</f>
        <v>9.6</v>
      </c>
    </row>
    <row r="445" spans="1:20" ht="45">
      <c r="A445" s="62" t="s">
        <v>343</v>
      </c>
      <c r="B445" s="58">
        <f>J429</f>
        <v>16.659342415909506</v>
      </c>
      <c r="C445" s="58">
        <v>12</v>
      </c>
      <c r="D445" s="78">
        <v>4.95</v>
      </c>
      <c r="E445" s="58">
        <f>1/(SQRT((1/J438)^2+(1/(D445*D438))^2))</f>
        <v>19.467956736265833</v>
      </c>
      <c r="F445" s="254">
        <f>MIN(B445,E445)</f>
        <v>16.659342415909506</v>
      </c>
      <c r="G445" s="82"/>
      <c r="O445" s="62" t="s">
        <v>343</v>
      </c>
      <c r="P445" s="81">
        <f t="shared" ref="P445:T446" si="142">MIN(P$443*$B445/1.3,$C445/1.25,P$443*$E445/1.3)</f>
        <v>7.6889272688813097</v>
      </c>
      <c r="Q445" s="81">
        <f t="shared" si="142"/>
        <v>8.970415147028195</v>
      </c>
      <c r="R445" s="81">
        <f t="shared" si="142"/>
        <v>9.6</v>
      </c>
      <c r="S445" s="81">
        <f t="shared" si="142"/>
        <v>9.6</v>
      </c>
      <c r="T445" s="81">
        <f t="shared" si="142"/>
        <v>9.6</v>
      </c>
    </row>
    <row r="446" spans="1:20" ht="45">
      <c r="A446" s="62" t="s">
        <v>345</v>
      </c>
      <c r="B446" s="58">
        <f>J430</f>
        <v>24.98901362386426</v>
      </c>
      <c r="C446" s="58">
        <v>12</v>
      </c>
      <c r="D446" s="78">
        <v>8.15</v>
      </c>
      <c r="E446" s="58">
        <f>1/(SQRT((1/J439)^2+(1/(D446*D439))^2))</f>
        <v>30.024686389656786</v>
      </c>
      <c r="F446" s="254">
        <f>MIN(B446,E446)</f>
        <v>24.98901362386426</v>
      </c>
      <c r="G446" s="82"/>
      <c r="O446" s="62" t="s">
        <v>345</v>
      </c>
      <c r="P446" s="81">
        <f t="shared" si="142"/>
        <v>9.6</v>
      </c>
      <c r="Q446" s="81">
        <f t="shared" si="142"/>
        <v>9.6</v>
      </c>
      <c r="R446" s="81">
        <f t="shared" si="142"/>
        <v>9.6</v>
      </c>
      <c r="S446" s="81">
        <f t="shared" si="142"/>
        <v>9.6</v>
      </c>
      <c r="T446" s="81">
        <f t="shared" si="142"/>
        <v>9.6</v>
      </c>
    </row>
    <row r="447" spans="1:20">
      <c r="A447" s="21"/>
      <c r="B447" s="71"/>
      <c r="D447" s="91"/>
      <c r="P447"/>
      <c r="Q447"/>
      <c r="R447"/>
      <c r="S447"/>
    </row>
    <row r="448" spans="1:20">
      <c r="A448" s="21"/>
      <c r="B448" s="71"/>
      <c r="P448"/>
      <c r="Q448"/>
      <c r="R448"/>
      <c r="S448"/>
    </row>
    <row r="449" spans="1:19">
      <c r="A449" s="21"/>
      <c r="B449" s="71"/>
    </row>
    <row r="450" spans="1:19">
      <c r="A450" s="21"/>
      <c r="B450" s="71"/>
    </row>
    <row r="451" spans="1:19">
      <c r="A451" s="21"/>
      <c r="B451" s="71"/>
    </row>
    <row r="452" spans="1:19" ht="18.75">
      <c r="A452" s="50" t="s">
        <v>1261</v>
      </c>
      <c r="B452" s="71"/>
    </row>
    <row r="454" spans="1:19">
      <c r="A454" s="19" t="s">
        <v>35</v>
      </c>
      <c r="B454" s="20" t="str">
        <f>B140</f>
        <v>GL24h</v>
      </c>
    </row>
    <row r="455" spans="1:19" ht="18">
      <c r="A455" s="21" t="s">
        <v>37</v>
      </c>
      <c r="B455">
        <f>VLOOKUP(B454,$V$7:$W$18,2,FALSE)</f>
        <v>385</v>
      </c>
      <c r="C455" t="s">
        <v>38</v>
      </c>
    </row>
    <row r="456" spans="1:19" ht="18">
      <c r="A456" s="21" t="s">
        <v>59</v>
      </c>
      <c r="B456" s="49">
        <v>13400</v>
      </c>
      <c r="C456" s="49">
        <v>3900</v>
      </c>
      <c r="D456" t="s">
        <v>60</v>
      </c>
      <c r="P456"/>
      <c r="Q456"/>
      <c r="R456"/>
      <c r="S456"/>
    </row>
    <row r="457" spans="1:19">
      <c r="A457" s="21" t="s">
        <v>61</v>
      </c>
      <c r="B457" s="49">
        <v>8</v>
      </c>
      <c r="C457" s="49">
        <v>5</v>
      </c>
      <c r="D457" t="s">
        <v>62</v>
      </c>
      <c r="P457"/>
      <c r="Q457"/>
      <c r="R457"/>
      <c r="S457"/>
    </row>
    <row r="458" spans="1:19" ht="18">
      <c r="A458" s="21" t="s">
        <v>63</v>
      </c>
      <c r="B458" s="93">
        <f>0.033*$B$455*B457^-0.3</f>
        <v>6.808440920761802</v>
      </c>
      <c r="C458" s="93">
        <f>0.033*$B$455*C457^-0.3</f>
        <v>7.8394152258577217</v>
      </c>
      <c r="D458" t="s">
        <v>64</v>
      </c>
      <c r="P458"/>
      <c r="Q458"/>
      <c r="R458"/>
      <c r="S458"/>
    </row>
    <row r="459" spans="1:19" ht="18">
      <c r="A459" s="21" t="s">
        <v>65</v>
      </c>
      <c r="B459" s="70">
        <f>0.082*B457^-0.3*$B$455</f>
        <v>16.917944106135387</v>
      </c>
      <c r="C459" s="70">
        <f>0.082*C457^-0.3*$B$455</f>
        <v>19.479759046070704</v>
      </c>
      <c r="D459" t="s">
        <v>64</v>
      </c>
      <c r="P459"/>
      <c r="Q459"/>
      <c r="R459"/>
      <c r="S459"/>
    </row>
    <row r="460" spans="1:19">
      <c r="A460" s="21"/>
      <c r="B460" s="71"/>
      <c r="P460"/>
      <c r="Q460"/>
      <c r="R460"/>
      <c r="S460"/>
    </row>
    <row r="461" spans="1:19">
      <c r="A461" s="21"/>
      <c r="B461" s="71"/>
      <c r="P461"/>
      <c r="Q461"/>
      <c r="R461"/>
      <c r="S461"/>
    </row>
    <row r="462" spans="1:19" ht="18">
      <c r="A462" s="3" t="s">
        <v>2</v>
      </c>
      <c r="B462" s="4" t="s">
        <v>41</v>
      </c>
      <c r="C462" s="4" t="s">
        <v>9</v>
      </c>
      <c r="D462" s="4" t="s">
        <v>42</v>
      </c>
      <c r="E462" s="4" t="s">
        <v>56</v>
      </c>
      <c r="F462" s="4" t="s">
        <v>57</v>
      </c>
      <c r="G462" s="4" t="s">
        <v>41</v>
      </c>
      <c r="H462" s="4" t="s">
        <v>9</v>
      </c>
      <c r="I462" s="4" t="s">
        <v>42</v>
      </c>
      <c r="J462" s="4" t="s">
        <v>56</v>
      </c>
      <c r="K462" s="4" t="s">
        <v>57</v>
      </c>
      <c r="L462" s="4" t="s">
        <v>58</v>
      </c>
      <c r="P462"/>
      <c r="Q462"/>
      <c r="R462"/>
      <c r="S462"/>
    </row>
    <row r="463" spans="1:19">
      <c r="A463" s="7"/>
      <c r="B463" s="8" t="s">
        <v>19</v>
      </c>
      <c r="C463" s="8" t="s">
        <v>18</v>
      </c>
      <c r="D463" s="8" t="s">
        <v>18</v>
      </c>
      <c r="E463" s="8" t="s">
        <v>17</v>
      </c>
      <c r="F463" s="8" t="s">
        <v>17</v>
      </c>
      <c r="G463" s="8" t="s">
        <v>19</v>
      </c>
      <c r="H463" s="8" t="s">
        <v>18</v>
      </c>
      <c r="I463" s="8" t="s">
        <v>18</v>
      </c>
      <c r="J463" s="8" t="s">
        <v>17</v>
      </c>
      <c r="K463" s="8" t="s">
        <v>17</v>
      </c>
      <c r="L463" s="56" t="s">
        <v>17</v>
      </c>
      <c r="P463"/>
      <c r="Q463"/>
      <c r="R463"/>
      <c r="S463"/>
    </row>
    <row r="464" spans="1:19" ht="45">
      <c r="A464" s="62" t="s">
        <v>330</v>
      </c>
      <c r="B464" s="57">
        <v>1</v>
      </c>
      <c r="C464" s="57">
        <v>8</v>
      </c>
      <c r="D464" s="212">
        <v>65</v>
      </c>
      <c r="E464" s="58">
        <f t="shared" ref="E464:E469" si="143">($E$479*0.52*SQRT($C464)*D464^0.9*$B$455^0.8)/1000</f>
        <v>2.2113638026311735</v>
      </c>
      <c r="F464" s="58">
        <f t="shared" ref="F464:F478" si="144">MIN($B$458*D464*C464/1000,(2.3*SQRT($B$456*$B$458*C464))/1000+(E464/4),$B$458*D464*C464/1000*(SQRT(2+4*$B$456/($B$458*D464^2*C464))-1)+E464/4)</f>
        <v>2.3028365309859833</v>
      </c>
      <c r="G464" s="57">
        <v>2</v>
      </c>
      <c r="H464" s="57">
        <v>5</v>
      </c>
      <c r="I464" s="212">
        <v>70</v>
      </c>
      <c r="J464" s="58">
        <f>(0.3*0.52*SQRT(H464)*I464^0.9*$B$455^0.8)/1000</f>
        <v>1.8688154683555778</v>
      </c>
      <c r="K464" s="58">
        <f t="shared" ref="K464:K478" si="145">MIN($C$458*I464*H464/1000,(2.3*SQRT($C$456*$C$458*H464))/1000+(J464/4),$C$458*I464*H464/1000*(SQRT(2+4*$C$456/($C$458*I464^2*H464))-1)+J464/4)</f>
        <v>1.3664673866555193</v>
      </c>
      <c r="L464" s="58">
        <f t="shared" ref="L464:L478" si="146">B464*F464+G464*K464</f>
        <v>5.0357713042970218</v>
      </c>
      <c r="P464"/>
      <c r="Q464"/>
      <c r="R464"/>
      <c r="S464"/>
    </row>
    <row r="465" spans="1:19" ht="45">
      <c r="A465" s="62" t="s">
        <v>334</v>
      </c>
      <c r="B465" s="57">
        <v>2</v>
      </c>
      <c r="C465" s="57">
        <v>8</v>
      </c>
      <c r="D465" s="212">
        <v>65</v>
      </c>
      <c r="E465" s="58">
        <f t="shared" si="143"/>
        <v>2.2113638026311735</v>
      </c>
      <c r="F465" s="58">
        <f t="shared" si="144"/>
        <v>2.3028365309859833</v>
      </c>
      <c r="G465" s="57">
        <v>2</v>
      </c>
      <c r="H465" s="57">
        <v>5</v>
      </c>
      <c r="I465" s="212">
        <v>70</v>
      </c>
      <c r="J465" s="58">
        <f t="shared" ref="J465:J478" si="147">(0.3*0.52*SQRT(H465)*I465^0.9*$B$455^0.8)/1000</f>
        <v>1.8688154683555778</v>
      </c>
      <c r="K465" s="58">
        <f t="shared" si="145"/>
        <v>1.3664673866555193</v>
      </c>
      <c r="L465" s="58">
        <f t="shared" si="146"/>
        <v>7.3386078352830051</v>
      </c>
      <c r="P465"/>
      <c r="Q465"/>
      <c r="R465"/>
      <c r="S465"/>
    </row>
    <row r="466" spans="1:19" ht="45">
      <c r="A466" s="62" t="s">
        <v>331</v>
      </c>
      <c r="B466" s="57">
        <v>2</v>
      </c>
      <c r="C466" s="57">
        <v>8</v>
      </c>
      <c r="D466" s="212">
        <v>65</v>
      </c>
      <c r="E466" s="58">
        <f t="shared" si="143"/>
        <v>2.2113638026311735</v>
      </c>
      <c r="F466" s="58">
        <f t="shared" si="144"/>
        <v>2.3028365309859833</v>
      </c>
      <c r="G466" s="57">
        <v>4</v>
      </c>
      <c r="H466" s="57">
        <v>5</v>
      </c>
      <c r="I466" s="212">
        <v>70</v>
      </c>
      <c r="J466" s="58">
        <f t="shared" si="147"/>
        <v>1.8688154683555778</v>
      </c>
      <c r="K466" s="58">
        <f t="shared" si="145"/>
        <v>1.3664673866555193</v>
      </c>
      <c r="L466" s="58">
        <f t="shared" si="146"/>
        <v>10.071542608594044</v>
      </c>
      <c r="P466"/>
      <c r="Q466"/>
      <c r="R466"/>
      <c r="S466"/>
    </row>
    <row r="467" spans="1:19" ht="45">
      <c r="A467" s="62" t="s">
        <v>333</v>
      </c>
      <c r="B467" s="57">
        <v>2</v>
      </c>
      <c r="C467" s="57">
        <v>8</v>
      </c>
      <c r="D467" s="212">
        <v>65</v>
      </c>
      <c r="E467" s="58">
        <f t="shared" si="143"/>
        <v>2.2113638026311735</v>
      </c>
      <c r="F467" s="58">
        <f t="shared" si="144"/>
        <v>2.3028365309859833</v>
      </c>
      <c r="G467" s="57">
        <v>6</v>
      </c>
      <c r="H467" s="57">
        <v>5</v>
      </c>
      <c r="I467" s="212">
        <v>70</v>
      </c>
      <c r="J467" s="58">
        <f t="shared" si="147"/>
        <v>1.8688154683555778</v>
      </c>
      <c r="K467" s="58">
        <f t="shared" si="145"/>
        <v>1.3664673866555193</v>
      </c>
      <c r="L467" s="58">
        <f t="shared" si="146"/>
        <v>12.804477381905082</v>
      </c>
      <c r="P467"/>
      <c r="Q467"/>
      <c r="R467"/>
      <c r="S467"/>
    </row>
    <row r="468" spans="1:19" ht="45">
      <c r="A468" s="62" t="s">
        <v>332</v>
      </c>
      <c r="B468" s="57">
        <v>2</v>
      </c>
      <c r="C468" s="57">
        <v>8</v>
      </c>
      <c r="D468" s="212">
        <v>65</v>
      </c>
      <c r="E468" s="58">
        <f t="shared" si="143"/>
        <v>2.2113638026311735</v>
      </c>
      <c r="F468" s="58">
        <f t="shared" si="144"/>
        <v>2.3028365309859833</v>
      </c>
      <c r="G468" s="57">
        <v>8</v>
      </c>
      <c r="H468" s="57">
        <v>5</v>
      </c>
      <c r="I468" s="212">
        <v>70</v>
      </c>
      <c r="J468" s="58">
        <f t="shared" si="147"/>
        <v>1.8688154683555778</v>
      </c>
      <c r="K468" s="58">
        <f t="shared" si="145"/>
        <v>1.3664673866555193</v>
      </c>
      <c r="L468" s="58">
        <f t="shared" si="146"/>
        <v>15.537412155216121</v>
      </c>
      <c r="P468"/>
      <c r="Q468"/>
      <c r="R468"/>
      <c r="S468"/>
    </row>
    <row r="469" spans="1:19" ht="45">
      <c r="A469" s="62" t="s">
        <v>335</v>
      </c>
      <c r="B469" s="57">
        <v>2</v>
      </c>
      <c r="C469" s="57">
        <v>8</v>
      </c>
      <c r="D469" s="212">
        <v>65</v>
      </c>
      <c r="E469" s="58">
        <f t="shared" si="143"/>
        <v>2.2113638026311735</v>
      </c>
      <c r="F469" s="58">
        <f t="shared" si="144"/>
        <v>2.3028365309859833</v>
      </c>
      <c r="G469" s="57">
        <v>10</v>
      </c>
      <c r="H469" s="57">
        <v>5</v>
      </c>
      <c r="I469" s="212">
        <v>70</v>
      </c>
      <c r="J469" s="58">
        <f t="shared" si="147"/>
        <v>1.8688154683555778</v>
      </c>
      <c r="K469" s="58">
        <f t="shared" si="145"/>
        <v>1.3664673866555193</v>
      </c>
      <c r="L469" s="58">
        <f t="shared" si="146"/>
        <v>18.270346928527161</v>
      </c>
      <c r="P469"/>
      <c r="Q469"/>
      <c r="R469"/>
      <c r="S469"/>
    </row>
    <row r="470" spans="1:19" ht="45">
      <c r="A470" s="256" t="s">
        <v>738</v>
      </c>
      <c r="B470" s="57">
        <v>2</v>
      </c>
      <c r="C470" s="57">
        <v>8</v>
      </c>
      <c r="D470" s="212">
        <f>160-15</f>
        <v>145</v>
      </c>
      <c r="E470" s="58">
        <f>($E$480*0.52*SQRT($C470)*D470^0.9*$B$455^0.8)/1000</f>
        <v>9.1054072130615449</v>
      </c>
      <c r="F470" s="58">
        <f>MIN($B$458*D470*C470/1000,(2.3*SQRT($B$456*$B$458*C470))/1000+(E470/4),$B$458*D470*C470/1000*(SQRT(2+4*$B$456/($B$458*D470^2*C470))-1)+E470/4)</f>
        <v>4.2412907704786091</v>
      </c>
      <c r="G470" s="57">
        <v>4</v>
      </c>
      <c r="H470" s="57">
        <v>5</v>
      </c>
      <c r="I470" s="212">
        <v>70</v>
      </c>
      <c r="J470" s="58">
        <f>(0.3*0.52*SQRT(H470)*I470^0.9*$B$455^0.8)/1000</f>
        <v>1.8688154683555778</v>
      </c>
      <c r="K470" s="58">
        <f>MIN($C$458*I470*H470/1000,(2.3*SQRT($C$456*$C$458*H470))/1000+(J470/4),$C$458*I470*H470/1000*(SQRT(2+4*$C$456/($C$458*I470^2*H470))-1)+J470/4)</f>
        <v>1.3664673866555193</v>
      </c>
      <c r="L470" s="58">
        <f>B470*F470+G470*K470</f>
        <v>13.948451087579295</v>
      </c>
      <c r="P470"/>
      <c r="Q470"/>
      <c r="R470"/>
      <c r="S470"/>
    </row>
    <row r="471" spans="1:19" ht="45">
      <c r="A471" s="256" t="s">
        <v>1223</v>
      </c>
      <c r="B471" s="57">
        <v>2</v>
      </c>
      <c r="C471" s="57">
        <v>8</v>
      </c>
      <c r="D471" s="212">
        <f>160-15</f>
        <v>145</v>
      </c>
      <c r="E471" s="58">
        <f>($E$480*0.52*SQRT($C471)*D471^0.9*$B$455^0.8)/1000</f>
        <v>9.1054072130615449</v>
      </c>
      <c r="F471" s="58">
        <f>MIN($B$458*D471*C471/1000,(2.3*SQRT($B$456*$B$458*C471))/1000+(E471/4),$B$458*D471*C471/1000*(SQRT(2+4*$B$456/($B$458*D471^2*C471))-1)+E471/4)</f>
        <v>4.2412907704786091</v>
      </c>
      <c r="G471" s="57">
        <v>6</v>
      </c>
      <c r="H471" s="57">
        <v>5</v>
      </c>
      <c r="I471" s="212">
        <v>70</v>
      </c>
      <c r="J471" s="58">
        <f>(0.3*0.52*SQRT(H471)*I471^0.9*$B$455^0.8)/1000</f>
        <v>1.8688154683555778</v>
      </c>
      <c r="K471" s="58">
        <f>MIN($C$458*I471*H471/1000,(2.3*SQRT($C$456*$C$458*H471))/1000+(J471/4),$C$458*I471*H471/1000*(SQRT(2+4*$C$456/($C$458*I471^2*H471))-1)+J471/4)</f>
        <v>1.3664673866555193</v>
      </c>
      <c r="L471" s="58">
        <f>B471*F471+G471*K471</f>
        <v>16.681385860890334</v>
      </c>
      <c r="P471"/>
      <c r="Q471"/>
      <c r="R471"/>
      <c r="S471"/>
    </row>
    <row r="472" spans="1:19" ht="45">
      <c r="A472" s="256" t="s">
        <v>336</v>
      </c>
      <c r="B472" s="57">
        <v>2</v>
      </c>
      <c r="C472" s="57">
        <v>8</v>
      </c>
      <c r="D472" s="212">
        <f>160-15</f>
        <v>145</v>
      </c>
      <c r="E472" s="58">
        <f>($E$480*0.52*SQRT($C472)*D472^0.9*$B$455^0.8)/1000</f>
        <v>9.1054072130615449</v>
      </c>
      <c r="F472" s="58">
        <f>MIN($B$458*D472*C472/1000,(2.3*SQRT($B$456*$B$458*C472))/1000+(E472/4),$B$458*D472*C472/1000*(SQRT(2+4*$B$456/($B$458*D472^2*C472))-1)+E472/4)</f>
        <v>4.2412907704786091</v>
      </c>
      <c r="G472" s="57">
        <v>8</v>
      </c>
      <c r="H472" s="57">
        <v>5</v>
      </c>
      <c r="I472" s="212">
        <v>70</v>
      </c>
      <c r="J472" s="58">
        <f>(0.3*0.52*SQRT(H472)*I472^0.9*$B$455^0.8)/1000</f>
        <v>1.8688154683555778</v>
      </c>
      <c r="K472" s="58">
        <f>MIN($C$458*I472*H472/1000,(2.3*SQRT($C$456*$C$458*H472))/1000+(J472/4),$C$458*I472*H472/1000*(SQRT(2+4*$C$456/($C$458*I472^2*H472))-1)+J472/4)</f>
        <v>1.3664673866555193</v>
      </c>
      <c r="L472" s="58">
        <f>B472*F472+G472*K472</f>
        <v>19.414320634201374</v>
      </c>
      <c r="P472"/>
      <c r="Q472"/>
      <c r="R472"/>
      <c r="S472"/>
    </row>
    <row r="473" spans="1:19" ht="45">
      <c r="A473" s="256" t="s">
        <v>337</v>
      </c>
      <c r="B473" s="57">
        <v>2</v>
      </c>
      <c r="C473" s="57">
        <v>8</v>
      </c>
      <c r="D473" s="212">
        <f>160-15</f>
        <v>145</v>
      </c>
      <c r="E473" s="58">
        <f>($E$480*0.52*SQRT($C473)*D473^0.9*$B$455^0.8)/1000</f>
        <v>9.1054072130615449</v>
      </c>
      <c r="F473" s="58">
        <f>MIN($B$458*D473*C473/1000,(2.3*SQRT($B$456*$B$458*C473))/1000+(E473/4),$B$458*D473*C473/1000*(SQRT(2+4*$B$456/($B$458*D473^2*C473))-1)+E473/4)</f>
        <v>4.2412907704786091</v>
      </c>
      <c r="G473" s="57">
        <v>10</v>
      </c>
      <c r="H473" s="57">
        <v>5</v>
      </c>
      <c r="I473" s="212">
        <v>70</v>
      </c>
      <c r="J473" s="58">
        <f>(0.3*0.52*SQRT(H473)*I473^0.9*$B$455^0.8)/1000</f>
        <v>1.8688154683555778</v>
      </c>
      <c r="K473" s="58">
        <f>MIN($C$458*I473*H473/1000,(2.3*SQRT($C$456*$C$458*H473))/1000+(J473/4),$C$458*I473*H473/1000*(SQRT(2+4*$C$456/($C$458*I473^2*H473))-1)+J473/4)</f>
        <v>1.3664673866555193</v>
      </c>
      <c r="L473" s="58">
        <f>B473*F473+G473*K473</f>
        <v>22.147255407512411</v>
      </c>
      <c r="P473"/>
      <c r="Q473"/>
      <c r="R473"/>
      <c r="S473"/>
    </row>
    <row r="474" spans="1:19" ht="45">
      <c r="A474" s="62" t="s">
        <v>338</v>
      </c>
      <c r="B474" s="57">
        <v>3</v>
      </c>
      <c r="C474" s="57">
        <v>8</v>
      </c>
      <c r="D474" s="212">
        <v>65</v>
      </c>
      <c r="E474" s="58">
        <f>($E$479*0.52*SQRT($C474)*D474^0.9*$B$455^0.8)/1000</f>
        <v>2.2113638026311735</v>
      </c>
      <c r="F474" s="58">
        <f t="shared" si="144"/>
        <v>2.3028365309859833</v>
      </c>
      <c r="G474" s="57">
        <v>4</v>
      </c>
      <c r="H474" s="57">
        <v>5</v>
      </c>
      <c r="I474" s="212">
        <v>70</v>
      </c>
      <c r="J474" s="58">
        <f t="shared" si="147"/>
        <v>1.8688154683555778</v>
      </c>
      <c r="K474" s="58">
        <f t="shared" si="145"/>
        <v>1.3664673866555193</v>
      </c>
      <c r="L474" s="58">
        <f t="shared" si="146"/>
        <v>12.374379139580027</v>
      </c>
      <c r="P474"/>
      <c r="Q474"/>
      <c r="R474"/>
      <c r="S474"/>
    </row>
    <row r="475" spans="1:19" ht="47.25" customHeight="1">
      <c r="A475" s="62" t="s">
        <v>339</v>
      </c>
      <c r="B475" s="57">
        <v>3</v>
      </c>
      <c r="C475" s="57">
        <v>8</v>
      </c>
      <c r="D475" s="212">
        <v>65</v>
      </c>
      <c r="E475" s="58">
        <f>($E$479*0.52*SQRT($C475)*D475^0.9*$B$455^0.8)/1000</f>
        <v>2.2113638026311735</v>
      </c>
      <c r="F475" s="58">
        <f t="shared" si="144"/>
        <v>2.3028365309859833</v>
      </c>
      <c r="G475" s="57">
        <v>8</v>
      </c>
      <c r="H475" s="57">
        <v>5</v>
      </c>
      <c r="I475" s="212">
        <v>70</v>
      </c>
      <c r="J475" s="58">
        <f t="shared" si="147"/>
        <v>1.8688154683555778</v>
      </c>
      <c r="K475" s="58">
        <f t="shared" si="145"/>
        <v>1.3664673866555193</v>
      </c>
      <c r="L475" s="58">
        <f t="shared" si="146"/>
        <v>17.840248686202102</v>
      </c>
      <c r="P475"/>
      <c r="Q475"/>
      <c r="R475"/>
      <c r="S475"/>
    </row>
    <row r="476" spans="1:19" ht="47.25" customHeight="1">
      <c r="A476" s="62" t="s">
        <v>340</v>
      </c>
      <c r="B476" s="57">
        <v>3</v>
      </c>
      <c r="C476" s="57">
        <v>8</v>
      </c>
      <c r="D476" s="212">
        <v>65</v>
      </c>
      <c r="E476" s="58">
        <f>($E$479*0.52*SQRT($C476)*D476^0.9*$B$455^0.8)/1000</f>
        <v>2.2113638026311735</v>
      </c>
      <c r="F476" s="58">
        <f t="shared" si="144"/>
        <v>2.3028365309859833</v>
      </c>
      <c r="G476" s="57">
        <v>12</v>
      </c>
      <c r="H476" s="57">
        <v>5</v>
      </c>
      <c r="I476" s="212">
        <v>70</v>
      </c>
      <c r="J476" s="58">
        <f t="shared" si="147"/>
        <v>1.8688154683555778</v>
      </c>
      <c r="K476" s="58">
        <f t="shared" si="145"/>
        <v>1.3664673866555193</v>
      </c>
      <c r="L476" s="58">
        <f t="shared" si="146"/>
        <v>23.306118232824183</v>
      </c>
    </row>
    <row r="477" spans="1:19" ht="47.25" customHeight="1">
      <c r="A477" s="62" t="s">
        <v>341</v>
      </c>
      <c r="B477" s="57">
        <v>3</v>
      </c>
      <c r="C477" s="57">
        <v>8</v>
      </c>
      <c r="D477" s="212">
        <v>65</v>
      </c>
      <c r="E477" s="58">
        <f>($E$479*0.52*SQRT($C477)*D477^0.9*$B$455^0.8)/1000</f>
        <v>2.2113638026311735</v>
      </c>
      <c r="F477" s="58">
        <f t="shared" si="144"/>
        <v>2.3028365309859833</v>
      </c>
      <c r="G477" s="57">
        <v>16</v>
      </c>
      <c r="H477" s="57">
        <v>5</v>
      </c>
      <c r="I477" s="212">
        <v>70</v>
      </c>
      <c r="J477" s="58">
        <f t="shared" si="147"/>
        <v>1.8688154683555778</v>
      </c>
      <c r="K477" s="58">
        <f t="shared" si="145"/>
        <v>1.3664673866555193</v>
      </c>
      <c r="L477" s="58">
        <f t="shared" si="146"/>
        <v>28.771987779446256</v>
      </c>
    </row>
    <row r="478" spans="1:19" ht="47.25" customHeight="1">
      <c r="A478" s="62" t="s">
        <v>342</v>
      </c>
      <c r="B478" s="57">
        <v>3</v>
      </c>
      <c r="C478" s="57">
        <v>8</v>
      </c>
      <c r="D478" s="212">
        <v>65</v>
      </c>
      <c r="E478" s="58">
        <f>($E$479*0.52*SQRT($C478)*D478^0.9*$B$455^0.8)/1000</f>
        <v>2.2113638026311735</v>
      </c>
      <c r="F478" s="58">
        <f t="shared" si="144"/>
        <v>2.3028365309859833</v>
      </c>
      <c r="G478" s="57">
        <v>20</v>
      </c>
      <c r="H478" s="57">
        <v>5</v>
      </c>
      <c r="I478" s="212">
        <v>70</v>
      </c>
      <c r="J478" s="58">
        <f t="shared" si="147"/>
        <v>1.8688154683555778</v>
      </c>
      <c r="K478" s="58">
        <f t="shared" si="145"/>
        <v>1.3664673866555193</v>
      </c>
      <c r="L478" s="58">
        <f t="shared" si="146"/>
        <v>34.237857326068337</v>
      </c>
    </row>
    <row r="479" spans="1:19">
      <c r="A479" s="83"/>
      <c r="B479" s="49"/>
      <c r="C479" s="49"/>
      <c r="D479" s="238" t="s">
        <v>329</v>
      </c>
      <c r="E479" s="247">
        <v>0.3</v>
      </c>
      <c r="F479" s="49"/>
      <c r="G479" s="49"/>
      <c r="H479" s="49"/>
      <c r="I479" s="49"/>
      <c r="J479" s="49"/>
      <c r="K479" s="49"/>
      <c r="L479" s="49"/>
    </row>
    <row r="480" spans="1:19">
      <c r="B480" s="49"/>
      <c r="C480" s="49"/>
      <c r="D480" s="110" t="s">
        <v>329</v>
      </c>
      <c r="E480" s="253">
        <v>0.6</v>
      </c>
      <c r="F480" s="49"/>
      <c r="G480" s="49"/>
      <c r="H480" s="49"/>
      <c r="I480" s="49"/>
      <c r="J480" s="49"/>
      <c r="K480" s="49"/>
      <c r="L480" s="49"/>
    </row>
    <row r="481" spans="1:12" ht="18">
      <c r="A481" s="3" t="s">
        <v>2</v>
      </c>
      <c r="B481" s="102" t="s">
        <v>41</v>
      </c>
      <c r="C481" s="102" t="s">
        <v>9</v>
      </c>
      <c r="D481" s="102" t="s">
        <v>77</v>
      </c>
      <c r="E481" s="102" t="s">
        <v>78</v>
      </c>
      <c r="F481" s="102" t="s">
        <v>79</v>
      </c>
      <c r="G481" s="102" t="s">
        <v>41</v>
      </c>
      <c r="H481" s="102" t="s">
        <v>9</v>
      </c>
      <c r="I481" s="102" t="s">
        <v>77</v>
      </c>
      <c r="J481" s="102" t="s">
        <v>78</v>
      </c>
      <c r="K481" s="102" t="s">
        <v>79</v>
      </c>
      <c r="L481" s="102" t="s">
        <v>80</v>
      </c>
    </row>
    <row r="482" spans="1:12">
      <c r="A482" s="7"/>
      <c r="B482" s="44" t="s">
        <v>19</v>
      </c>
      <c r="C482" s="44" t="s">
        <v>18</v>
      </c>
      <c r="D482" s="44" t="s">
        <v>18</v>
      </c>
      <c r="E482" s="44" t="s">
        <v>17</v>
      </c>
      <c r="F482" s="44" t="s">
        <v>17</v>
      </c>
      <c r="G482" s="44" t="s">
        <v>19</v>
      </c>
      <c r="H482" s="44" t="s">
        <v>18</v>
      </c>
      <c r="I482" s="44" t="s">
        <v>18</v>
      </c>
      <c r="J482" s="44" t="s">
        <v>17</v>
      </c>
      <c r="K482" s="44" t="s">
        <v>17</v>
      </c>
      <c r="L482" s="111" t="s">
        <v>17</v>
      </c>
    </row>
    <row r="483" spans="1:12" ht="45">
      <c r="A483" s="62" t="s">
        <v>330</v>
      </c>
      <c r="B483" s="57">
        <v>1</v>
      </c>
      <c r="C483" s="57">
        <v>8</v>
      </c>
      <c r="D483" s="212">
        <v>35</v>
      </c>
      <c r="E483" s="58">
        <f t="shared" ref="E483:E497" si="148">(0.52*SQRT($C483)*35^0.9*$B$455^0.8)/1000</f>
        <v>4.2225826668958426</v>
      </c>
      <c r="F483" s="58">
        <f t="shared" ref="F483:F497" si="149">MIN($B$459*D483*C483/1000,(2.3*SQRT($B$456*$B$459*C483))/1000+(E483/4),$B$459*D483*C483/1000*(SQRT(2+4*$B$456/($B$459*D483^2*C483))-1)+E483/4)</f>
        <v>3.5389546758165444</v>
      </c>
      <c r="G483" s="57">
        <v>2</v>
      </c>
      <c r="H483" s="57">
        <v>5</v>
      </c>
      <c r="I483" s="212">
        <v>40</v>
      </c>
      <c r="J483" s="58">
        <f t="shared" ref="J483:J497" si="150">(0.52*SQRT(H483)*40^0.9*$B$455^0.8)/1000</f>
        <v>3.7645313796964266</v>
      </c>
      <c r="K483" s="58">
        <f t="shared" ref="K483:K497" si="151">MIN($C$459*I483*H483/1000,(2.3*SQRT($C$456*$C$459*H483))/1000+(J483/4),$C$459*I483*H483/1000*(SQRT(2+4*$C$456/($C$459*I483^2*H483))-1)+J483/4)</f>
        <v>2.3586780979574704</v>
      </c>
      <c r="L483" s="58">
        <f>B483*F483+G483*K483</f>
        <v>8.2563108717314861</v>
      </c>
    </row>
    <row r="484" spans="1:12" ht="45">
      <c r="A484" s="62" t="s">
        <v>334</v>
      </c>
      <c r="B484" s="57">
        <v>2</v>
      </c>
      <c r="C484" s="57">
        <v>8</v>
      </c>
      <c r="D484" s="212">
        <v>35</v>
      </c>
      <c r="E484" s="58">
        <f t="shared" si="148"/>
        <v>4.2225826668958426</v>
      </c>
      <c r="F484" s="58">
        <f t="shared" si="149"/>
        <v>3.5389546758165444</v>
      </c>
      <c r="G484" s="57">
        <v>2</v>
      </c>
      <c r="H484" s="57">
        <v>5</v>
      </c>
      <c r="I484" s="212">
        <v>40</v>
      </c>
      <c r="J484" s="58">
        <f t="shared" si="150"/>
        <v>3.7645313796964266</v>
      </c>
      <c r="K484" s="58">
        <f t="shared" si="151"/>
        <v>2.3586780979574704</v>
      </c>
      <c r="L484" s="58">
        <f t="shared" ref="L484:L497" si="152">B484*F484+G484*K484</f>
        <v>11.795265547548031</v>
      </c>
    </row>
    <row r="485" spans="1:12" ht="45">
      <c r="A485" s="62" t="s">
        <v>331</v>
      </c>
      <c r="B485" s="57">
        <v>2</v>
      </c>
      <c r="C485" s="57">
        <v>8</v>
      </c>
      <c r="D485" s="212">
        <v>35</v>
      </c>
      <c r="E485" s="58">
        <f t="shared" si="148"/>
        <v>4.2225826668958426</v>
      </c>
      <c r="F485" s="58">
        <f t="shared" si="149"/>
        <v>3.5389546758165444</v>
      </c>
      <c r="G485" s="57">
        <v>4</v>
      </c>
      <c r="H485" s="57">
        <v>5</v>
      </c>
      <c r="I485" s="212">
        <v>40</v>
      </c>
      <c r="J485" s="58">
        <f t="shared" si="150"/>
        <v>3.7645313796964266</v>
      </c>
      <c r="K485" s="58">
        <f t="shared" si="151"/>
        <v>2.3586780979574704</v>
      </c>
      <c r="L485" s="58">
        <f t="shared" si="152"/>
        <v>16.512621743462972</v>
      </c>
    </row>
    <row r="486" spans="1:12" ht="45">
      <c r="A486" s="62" t="s">
        <v>333</v>
      </c>
      <c r="B486" s="57">
        <v>2</v>
      </c>
      <c r="C486" s="57">
        <v>8</v>
      </c>
      <c r="D486" s="212">
        <v>35</v>
      </c>
      <c r="E486" s="58">
        <f t="shared" si="148"/>
        <v>4.2225826668958426</v>
      </c>
      <c r="F486" s="58">
        <f t="shared" si="149"/>
        <v>3.5389546758165444</v>
      </c>
      <c r="G486" s="57">
        <v>6</v>
      </c>
      <c r="H486" s="57">
        <v>5</v>
      </c>
      <c r="I486" s="212">
        <v>40</v>
      </c>
      <c r="J486" s="58">
        <f t="shared" si="150"/>
        <v>3.7645313796964266</v>
      </c>
      <c r="K486" s="58">
        <f t="shared" si="151"/>
        <v>2.3586780979574704</v>
      </c>
      <c r="L486" s="58">
        <f t="shared" si="152"/>
        <v>21.22997793937791</v>
      </c>
    </row>
    <row r="487" spans="1:12" ht="45">
      <c r="A487" s="62" t="s">
        <v>332</v>
      </c>
      <c r="B487" s="57">
        <v>2</v>
      </c>
      <c r="C487" s="57">
        <v>8</v>
      </c>
      <c r="D487" s="212">
        <v>35</v>
      </c>
      <c r="E487" s="58">
        <f t="shared" si="148"/>
        <v>4.2225826668958426</v>
      </c>
      <c r="F487" s="58">
        <f t="shared" si="149"/>
        <v>3.5389546758165444</v>
      </c>
      <c r="G487" s="57">
        <v>8</v>
      </c>
      <c r="H487" s="57">
        <v>5</v>
      </c>
      <c r="I487" s="212">
        <v>40</v>
      </c>
      <c r="J487" s="58">
        <f t="shared" si="150"/>
        <v>3.7645313796964266</v>
      </c>
      <c r="K487" s="58">
        <f t="shared" si="151"/>
        <v>2.3586780979574704</v>
      </c>
      <c r="L487" s="58">
        <f t="shared" si="152"/>
        <v>25.947334135292852</v>
      </c>
    </row>
    <row r="488" spans="1:12" ht="45">
      <c r="A488" s="62" t="s">
        <v>335</v>
      </c>
      <c r="B488" s="57">
        <v>2</v>
      </c>
      <c r="C488" s="57">
        <v>8</v>
      </c>
      <c r="D488" s="212">
        <v>35</v>
      </c>
      <c r="E488" s="58">
        <f t="shared" si="148"/>
        <v>4.2225826668958426</v>
      </c>
      <c r="F488" s="58">
        <f t="shared" si="149"/>
        <v>3.5389546758165444</v>
      </c>
      <c r="G488" s="57">
        <v>10</v>
      </c>
      <c r="H488" s="57">
        <v>5</v>
      </c>
      <c r="I488" s="212">
        <v>40</v>
      </c>
      <c r="J488" s="58">
        <f t="shared" si="150"/>
        <v>3.7645313796964266</v>
      </c>
      <c r="K488" s="58">
        <f t="shared" si="151"/>
        <v>2.3586780979574704</v>
      </c>
      <c r="L488" s="58">
        <f t="shared" si="152"/>
        <v>30.664690331207794</v>
      </c>
    </row>
    <row r="489" spans="1:12" ht="45">
      <c r="A489" s="256" t="s">
        <v>738</v>
      </c>
      <c r="B489" s="57">
        <v>2</v>
      </c>
      <c r="C489" s="57">
        <v>8</v>
      </c>
      <c r="D489" s="212">
        <v>35</v>
      </c>
      <c r="E489" s="58">
        <f t="shared" si="148"/>
        <v>4.2225826668958426</v>
      </c>
      <c r="F489" s="58">
        <f>MIN($B$459*D489*C489/1000,(2.3*SQRT($B$456*$B$459*C489))/1000+(E489/4),$B$459*D489*C489/1000*(SQRT(2+4*$B$456/($B$459*D489^2*C489))-1)+E489/4)</f>
        <v>3.5389546758165444</v>
      </c>
      <c r="G489" s="57">
        <v>4</v>
      </c>
      <c r="H489" s="57">
        <v>5</v>
      </c>
      <c r="I489" s="212">
        <v>70</v>
      </c>
      <c r="J489" s="58">
        <f>(0.52*SQRT(H489)*40^0.9*$B$455^0.8)/1000</f>
        <v>3.7645313796964266</v>
      </c>
      <c r="K489" s="58">
        <f>MIN($C$459*I489*H489/1000,(2.3*SQRT($C$456*$C$459*H489))/1000+(J489/4),$C$459*I489*H489/1000*(SQRT(2+4*$C$456/($C$459*I489^2*H489))-1)+J489/4)</f>
        <v>2.3586780979574704</v>
      </c>
      <c r="L489" s="58">
        <f>B489*F489+G489*K489</f>
        <v>16.512621743462972</v>
      </c>
    </row>
    <row r="490" spans="1:12" ht="45">
      <c r="A490" s="256" t="s">
        <v>727</v>
      </c>
      <c r="B490" s="57">
        <v>2</v>
      </c>
      <c r="C490" s="57">
        <v>8</v>
      </c>
      <c r="D490" s="212">
        <v>35</v>
      </c>
      <c r="E490" s="58">
        <f t="shared" si="148"/>
        <v>4.2225826668958426</v>
      </c>
      <c r="F490" s="58">
        <f>MIN($B$459*D490*C490/1000,(2.3*SQRT($B$456*$B$459*C490))/1000+(E490/4),$B$459*D490*C490/1000*(SQRT(2+4*$B$456/($B$459*D490^2*C490))-1)+E490/4)</f>
        <v>3.5389546758165444</v>
      </c>
      <c r="G490" s="57">
        <v>6</v>
      </c>
      <c r="H490" s="57">
        <v>5</v>
      </c>
      <c r="I490" s="212">
        <v>70</v>
      </c>
      <c r="J490" s="58">
        <f>(0.52*SQRT(H490)*40^0.9*$B$455^0.8)/1000</f>
        <v>3.7645313796964266</v>
      </c>
      <c r="K490" s="58">
        <f>MIN($C$459*I490*H490/1000,(2.3*SQRT($C$456*$C$459*H490))/1000+(J490/4),$C$459*I490*H490/1000*(SQRT(2+4*$C$456/($C$459*I490^2*H490))-1)+J490/4)</f>
        <v>2.3586780979574704</v>
      </c>
      <c r="L490" s="58">
        <f>B490*F490+G490*K490</f>
        <v>21.22997793937791</v>
      </c>
    </row>
    <row r="491" spans="1:12" ht="45">
      <c r="A491" s="256" t="s">
        <v>336</v>
      </c>
      <c r="B491" s="57">
        <v>2</v>
      </c>
      <c r="C491" s="57">
        <v>8</v>
      </c>
      <c r="D491" s="212">
        <v>35</v>
      </c>
      <c r="E491" s="58">
        <f t="shared" si="148"/>
        <v>4.2225826668958426</v>
      </c>
      <c r="F491" s="58">
        <f>MIN($B$459*D491*C491/1000,(2.3*SQRT($B$456*$B$459*C491))/1000+(E491/4),$B$459*D491*C491/1000*(SQRT(2+4*$B$456/($B$459*D491^2*C491))-1)+E491/4)</f>
        <v>3.5389546758165444</v>
      </c>
      <c r="G491" s="57">
        <v>8</v>
      </c>
      <c r="H491" s="57">
        <v>5</v>
      </c>
      <c r="I491" s="212">
        <v>70</v>
      </c>
      <c r="J491" s="58">
        <f>(0.52*SQRT(H491)*40^0.9*$B$455^0.8)/1000</f>
        <v>3.7645313796964266</v>
      </c>
      <c r="K491" s="58">
        <f>MIN($C$459*I491*H491/1000,(2.3*SQRT($C$456*$C$459*H491))/1000+(J491/4),$C$459*I491*H491/1000*(SQRT(2+4*$C$456/($C$459*I491^2*H491))-1)+J491/4)</f>
        <v>2.3586780979574704</v>
      </c>
      <c r="L491" s="58">
        <f>B491*F491+G491*K491</f>
        <v>25.947334135292852</v>
      </c>
    </row>
    <row r="492" spans="1:12" ht="45">
      <c r="A492" s="256" t="s">
        <v>337</v>
      </c>
      <c r="B492" s="57">
        <v>2</v>
      </c>
      <c r="C492" s="57">
        <v>8</v>
      </c>
      <c r="D492" s="212">
        <v>35</v>
      </c>
      <c r="E492" s="58">
        <f t="shared" si="148"/>
        <v>4.2225826668958426</v>
      </c>
      <c r="F492" s="58">
        <f>MIN($B$459*D492*C492/1000,(2.3*SQRT($B$456*$B$459*C492))/1000+(E492/4),$B$459*D492*C492/1000*(SQRT(2+4*$B$456/($B$459*D492^2*C492))-1)+E492/4)</f>
        <v>3.5389546758165444</v>
      </c>
      <c r="G492" s="57">
        <v>10</v>
      </c>
      <c r="H492" s="57">
        <v>5</v>
      </c>
      <c r="I492" s="212">
        <v>70</v>
      </c>
      <c r="J492" s="58">
        <f>(0.52*SQRT(H492)*40^0.9*$B$455^0.8)/1000</f>
        <v>3.7645313796964266</v>
      </c>
      <c r="K492" s="58">
        <f>MIN($C$459*I492*H492/1000,(2.3*SQRT($C$456*$C$459*H492))/1000+(J492/4),$C$459*I492*H492/1000*(SQRT(2+4*$C$456/($C$459*I492^2*H492))-1)+J492/4)</f>
        <v>2.3586780979574704</v>
      </c>
      <c r="L492" s="58">
        <f>B492*F492+G492*K492</f>
        <v>30.664690331207794</v>
      </c>
    </row>
    <row r="493" spans="1:12" ht="45">
      <c r="A493" s="62" t="s">
        <v>338</v>
      </c>
      <c r="B493" s="57">
        <v>3</v>
      </c>
      <c r="C493" s="57">
        <v>8</v>
      </c>
      <c r="D493" s="212">
        <v>35</v>
      </c>
      <c r="E493" s="58">
        <f t="shared" si="148"/>
        <v>4.2225826668958426</v>
      </c>
      <c r="F493" s="58">
        <f t="shared" si="149"/>
        <v>3.5389546758165444</v>
      </c>
      <c r="G493" s="57">
        <v>4</v>
      </c>
      <c r="H493" s="57">
        <v>5</v>
      </c>
      <c r="I493" s="212">
        <v>40</v>
      </c>
      <c r="J493" s="58">
        <f t="shared" si="150"/>
        <v>3.7645313796964266</v>
      </c>
      <c r="K493" s="58">
        <f t="shared" si="151"/>
        <v>2.3586780979574704</v>
      </c>
      <c r="L493" s="58">
        <f t="shared" si="152"/>
        <v>20.051576419279513</v>
      </c>
    </row>
    <row r="494" spans="1:12" ht="47.25" customHeight="1">
      <c r="A494" s="62" t="s">
        <v>339</v>
      </c>
      <c r="B494" s="57">
        <v>3</v>
      </c>
      <c r="C494" s="57">
        <v>8</v>
      </c>
      <c r="D494" s="212">
        <v>35</v>
      </c>
      <c r="E494" s="58">
        <f t="shared" si="148"/>
        <v>4.2225826668958426</v>
      </c>
      <c r="F494" s="58">
        <f t="shared" si="149"/>
        <v>3.5389546758165444</v>
      </c>
      <c r="G494" s="57">
        <v>8</v>
      </c>
      <c r="H494" s="57">
        <v>5</v>
      </c>
      <c r="I494" s="212">
        <v>40</v>
      </c>
      <c r="J494" s="58">
        <f t="shared" si="150"/>
        <v>3.7645313796964266</v>
      </c>
      <c r="K494" s="58">
        <f t="shared" si="151"/>
        <v>2.3586780979574704</v>
      </c>
      <c r="L494" s="58">
        <f t="shared" si="152"/>
        <v>29.486288811109397</v>
      </c>
    </row>
    <row r="495" spans="1:12" ht="47.25" customHeight="1">
      <c r="A495" s="62" t="s">
        <v>340</v>
      </c>
      <c r="B495" s="57">
        <v>3</v>
      </c>
      <c r="C495" s="57">
        <v>8</v>
      </c>
      <c r="D495" s="212">
        <v>35</v>
      </c>
      <c r="E495" s="58">
        <f t="shared" si="148"/>
        <v>4.2225826668958426</v>
      </c>
      <c r="F495" s="58">
        <f t="shared" si="149"/>
        <v>3.5389546758165444</v>
      </c>
      <c r="G495" s="57">
        <v>12</v>
      </c>
      <c r="H495" s="57">
        <v>5</v>
      </c>
      <c r="I495" s="212">
        <v>40</v>
      </c>
      <c r="J495" s="58">
        <f t="shared" si="150"/>
        <v>3.7645313796964266</v>
      </c>
      <c r="K495" s="58">
        <f t="shared" si="151"/>
        <v>2.3586780979574704</v>
      </c>
      <c r="L495" s="58">
        <f t="shared" si="152"/>
        <v>38.92100120293928</v>
      </c>
    </row>
    <row r="496" spans="1:12" ht="47.25" customHeight="1">
      <c r="A496" s="62" t="s">
        <v>341</v>
      </c>
      <c r="B496" s="57">
        <v>3</v>
      </c>
      <c r="C496" s="57">
        <v>8</v>
      </c>
      <c r="D496" s="212">
        <v>35</v>
      </c>
      <c r="E496" s="58">
        <f t="shared" si="148"/>
        <v>4.2225826668958426</v>
      </c>
      <c r="F496" s="58">
        <f t="shared" si="149"/>
        <v>3.5389546758165444</v>
      </c>
      <c r="G496" s="57">
        <v>16</v>
      </c>
      <c r="H496" s="57">
        <v>5</v>
      </c>
      <c r="I496" s="212">
        <v>40</v>
      </c>
      <c r="J496" s="58">
        <f t="shared" si="150"/>
        <v>3.7645313796964266</v>
      </c>
      <c r="K496" s="58">
        <f t="shared" si="151"/>
        <v>2.3586780979574704</v>
      </c>
      <c r="L496" s="58">
        <f t="shared" si="152"/>
        <v>48.355713594769156</v>
      </c>
    </row>
    <row r="497" spans="1:20" ht="47.25" customHeight="1">
      <c r="A497" s="62" t="s">
        <v>342</v>
      </c>
      <c r="B497" s="57">
        <v>3</v>
      </c>
      <c r="C497" s="57">
        <v>8</v>
      </c>
      <c r="D497" s="212">
        <v>35</v>
      </c>
      <c r="E497" s="58">
        <f t="shared" si="148"/>
        <v>4.2225826668958426</v>
      </c>
      <c r="F497" s="58">
        <f t="shared" si="149"/>
        <v>3.5389546758165444</v>
      </c>
      <c r="G497" s="57">
        <v>20</v>
      </c>
      <c r="H497" s="57">
        <v>5</v>
      </c>
      <c r="I497" s="212">
        <v>40</v>
      </c>
      <c r="J497" s="58">
        <f t="shared" si="150"/>
        <v>3.7645313796964266</v>
      </c>
      <c r="K497" s="58">
        <f t="shared" si="151"/>
        <v>2.3586780979574704</v>
      </c>
      <c r="L497" s="58">
        <f t="shared" si="152"/>
        <v>57.790425986599047</v>
      </c>
    </row>
    <row r="498" spans="1:20">
      <c r="B498" s="49"/>
      <c r="C498" s="49"/>
      <c r="D498" s="49"/>
      <c r="E498" s="49"/>
      <c r="F498" s="49"/>
      <c r="G498" s="49"/>
      <c r="H498" s="49"/>
      <c r="I498" s="49"/>
      <c r="J498" s="49"/>
      <c r="K498" s="49"/>
      <c r="L498" s="49"/>
    </row>
    <row r="499" spans="1:20">
      <c r="B499" s="70"/>
      <c r="C499" s="49"/>
      <c r="D499" s="49"/>
      <c r="E499" s="49"/>
      <c r="F499" s="49" t="s">
        <v>69</v>
      </c>
      <c r="G499" s="49" t="s">
        <v>129</v>
      </c>
      <c r="H499" s="49"/>
      <c r="I499" s="49"/>
      <c r="J499" s="49"/>
      <c r="K499" s="49"/>
      <c r="L499" s="49"/>
    </row>
    <row r="500" spans="1:20" ht="18">
      <c r="A500" s="3" t="s">
        <v>2</v>
      </c>
      <c r="B500" s="112" t="s">
        <v>130</v>
      </c>
      <c r="C500" s="112" t="s">
        <v>131</v>
      </c>
      <c r="D500" s="102" t="s">
        <v>132</v>
      </c>
      <c r="E500" s="112" t="s">
        <v>133</v>
      </c>
      <c r="F500" s="113" t="s">
        <v>134</v>
      </c>
      <c r="G500" s="113" t="s">
        <v>135</v>
      </c>
      <c r="H500" s="49"/>
      <c r="I500" s="49"/>
      <c r="J500" s="49"/>
      <c r="K500" s="49"/>
      <c r="L500" s="49"/>
      <c r="O500" s="3" t="s">
        <v>2</v>
      </c>
      <c r="P500" s="664" t="s">
        <v>136</v>
      </c>
      <c r="Q500" s="665"/>
      <c r="R500" s="665"/>
      <c r="S500" s="665"/>
      <c r="T500" s="666"/>
    </row>
    <row r="501" spans="1:20">
      <c r="A501" s="7"/>
      <c r="B501" s="114" t="s">
        <v>17</v>
      </c>
      <c r="C501" s="115" t="s">
        <v>17</v>
      </c>
      <c r="D501" s="44" t="s">
        <v>75</v>
      </c>
      <c r="E501" s="115" t="s">
        <v>17</v>
      </c>
      <c r="F501" s="116" t="s">
        <v>17</v>
      </c>
      <c r="G501" s="116" t="s">
        <v>17</v>
      </c>
      <c r="H501" s="49"/>
      <c r="I501" s="49"/>
      <c r="J501" s="49"/>
      <c r="K501" s="49"/>
      <c r="L501" s="49"/>
      <c r="O501" s="7"/>
      <c r="P501" s="87">
        <v>0.6</v>
      </c>
      <c r="Q501" s="87">
        <v>0.7</v>
      </c>
      <c r="R501" s="87">
        <v>0.8</v>
      </c>
      <c r="S501" s="87">
        <v>0.9</v>
      </c>
      <c r="T501" s="87">
        <v>1</v>
      </c>
    </row>
    <row r="502" spans="1:20" ht="45">
      <c r="A502" s="62" t="s">
        <v>330</v>
      </c>
      <c r="B502" s="58">
        <f t="shared" ref="B502:B507" si="153">L464</f>
        <v>5.0357713042970218</v>
      </c>
      <c r="C502" s="58">
        <v>2.7</v>
      </c>
      <c r="D502" s="78">
        <v>2.2999999999999998</v>
      </c>
      <c r="E502" s="58">
        <f t="shared" ref="E502:E507" si="154">1/(SQRT((1/L483)^2+(1/(D502*E483)^2)))</f>
        <v>6.2904365361145143</v>
      </c>
      <c r="F502" s="126">
        <f>MIN(B502,C502,E502)</f>
        <v>2.7</v>
      </c>
      <c r="G502" s="126">
        <v>2.5299999999999998</v>
      </c>
      <c r="H502" s="49"/>
      <c r="I502" s="49"/>
      <c r="J502" s="49"/>
      <c r="K502" s="49"/>
      <c r="L502" s="49"/>
      <c r="O502" s="62" t="s">
        <v>330</v>
      </c>
      <c r="P502" s="81">
        <f>MIN(P$501*$B502/1.3,$C502/1.25,P$501*$E502/1.3)</f>
        <v>2.16</v>
      </c>
      <c r="Q502" s="81">
        <f>MIN(Q$501*$B502/1.3,$C502/1.25,Q$501*$E502/1.3)</f>
        <v>2.16</v>
      </c>
      <c r="R502" s="81">
        <f>MIN(R$501*$B502/1.3,$C502/1.25,R$501*$E502/1.3)</f>
        <v>2.16</v>
      </c>
      <c r="S502" s="81">
        <f>MIN(S$501*$B502/1.3,$C502/1.25,S$501*$E502/1.3)</f>
        <v>2.16</v>
      </c>
      <c r="T502" s="81">
        <f>MIN(T$501*$B502/1.3,$C502/1.25,T$501*$E502/1.3)</f>
        <v>2.16</v>
      </c>
    </row>
    <row r="503" spans="1:20" ht="45">
      <c r="A503" s="62" t="s">
        <v>334</v>
      </c>
      <c r="B503" s="58">
        <f t="shared" si="153"/>
        <v>7.3386078352830051</v>
      </c>
      <c r="C503" s="58">
        <v>2.7</v>
      </c>
      <c r="D503" s="78">
        <v>5.09</v>
      </c>
      <c r="E503" s="58">
        <f t="shared" si="154"/>
        <v>10.34044741465582</v>
      </c>
      <c r="F503" s="126">
        <f t="shared" ref="F503:F516" si="155">MIN(B503,C503,E503)</f>
        <v>2.7</v>
      </c>
      <c r="G503" s="126">
        <v>2.5299999999999998</v>
      </c>
      <c r="H503" s="49"/>
      <c r="I503" s="49"/>
      <c r="J503" s="49"/>
      <c r="K503" s="49"/>
      <c r="L503" s="49"/>
      <c r="O503" s="62" t="s">
        <v>334</v>
      </c>
      <c r="P503" s="81">
        <f t="shared" ref="P503:T516" si="156">MIN(P$501*$B503/1.3,$C503/1.25,P$501*$E503/1.3)</f>
        <v>2.16</v>
      </c>
      <c r="Q503" s="81">
        <f t="shared" si="156"/>
        <v>2.16</v>
      </c>
      <c r="R503" s="81">
        <f t="shared" si="156"/>
        <v>2.16</v>
      </c>
      <c r="S503" s="81">
        <f t="shared" si="156"/>
        <v>2.16</v>
      </c>
      <c r="T503" s="81">
        <f t="shared" si="156"/>
        <v>2.16</v>
      </c>
    </row>
    <row r="504" spans="1:20" ht="45">
      <c r="A504" s="62" t="s">
        <v>331</v>
      </c>
      <c r="B504" s="58">
        <f t="shared" si="153"/>
        <v>10.071542608594044</v>
      </c>
      <c r="C504" s="58">
        <v>2.7</v>
      </c>
      <c r="D504" s="78">
        <v>10.9</v>
      </c>
      <c r="E504" s="58">
        <f t="shared" si="154"/>
        <v>15.542620745026749</v>
      </c>
      <c r="F504" s="126">
        <f t="shared" si="155"/>
        <v>2.7</v>
      </c>
      <c r="G504" s="126">
        <v>2.5299999999999998</v>
      </c>
      <c r="H504" s="49"/>
      <c r="I504" s="49"/>
      <c r="J504" s="49"/>
      <c r="K504" s="49"/>
      <c r="L504" s="49"/>
      <c r="O504" s="62" t="s">
        <v>331</v>
      </c>
      <c r="P504" s="81">
        <f t="shared" si="156"/>
        <v>2.16</v>
      </c>
      <c r="Q504" s="81">
        <f t="shared" si="156"/>
        <v>2.16</v>
      </c>
      <c r="R504" s="81">
        <f t="shared" si="156"/>
        <v>2.16</v>
      </c>
      <c r="S504" s="81">
        <f t="shared" si="156"/>
        <v>2.16</v>
      </c>
      <c r="T504" s="81">
        <f t="shared" si="156"/>
        <v>2.16</v>
      </c>
    </row>
    <row r="505" spans="1:20" ht="45">
      <c r="A505" s="62" t="s">
        <v>333</v>
      </c>
      <c r="B505" s="58">
        <f t="shared" si="153"/>
        <v>12.804477381905082</v>
      </c>
      <c r="C505" s="58">
        <v>2.7</v>
      </c>
      <c r="D505" s="78">
        <v>19.100000000000001</v>
      </c>
      <c r="E505" s="58">
        <f t="shared" si="154"/>
        <v>20.530598646371722</v>
      </c>
      <c r="F505" s="126">
        <f t="shared" si="155"/>
        <v>2.7</v>
      </c>
      <c r="G505" s="126">
        <v>2.5299999999999998</v>
      </c>
      <c r="H505" s="49"/>
      <c r="I505" s="49"/>
      <c r="J505" s="49"/>
      <c r="K505" s="49"/>
      <c r="L505" s="49"/>
      <c r="O505" s="62" t="s">
        <v>333</v>
      </c>
      <c r="P505" s="81">
        <f t="shared" si="156"/>
        <v>2.16</v>
      </c>
      <c r="Q505" s="81">
        <f t="shared" si="156"/>
        <v>2.16</v>
      </c>
      <c r="R505" s="81">
        <f t="shared" si="156"/>
        <v>2.16</v>
      </c>
      <c r="S505" s="81">
        <f t="shared" si="156"/>
        <v>2.16</v>
      </c>
      <c r="T505" s="81">
        <f t="shared" si="156"/>
        <v>2.16</v>
      </c>
    </row>
    <row r="506" spans="1:20" ht="45">
      <c r="A506" s="62" t="s">
        <v>332</v>
      </c>
      <c r="B506" s="58">
        <f t="shared" si="153"/>
        <v>15.537412155216121</v>
      </c>
      <c r="C506" s="58">
        <v>2.7</v>
      </c>
      <c r="D506" s="78">
        <v>29.6</v>
      </c>
      <c r="E506" s="58">
        <f t="shared" si="154"/>
        <v>25.405656567957546</v>
      </c>
      <c r="F506" s="126">
        <f t="shared" si="155"/>
        <v>2.7</v>
      </c>
      <c r="G506" s="126">
        <v>2.5299999999999998</v>
      </c>
      <c r="H506" s="49"/>
      <c r="I506" s="49"/>
      <c r="J506" s="49"/>
      <c r="K506" s="49"/>
      <c r="L506" s="49"/>
      <c r="O506" s="62" t="s">
        <v>332</v>
      </c>
      <c r="P506" s="81">
        <f t="shared" si="156"/>
        <v>2.16</v>
      </c>
      <c r="Q506" s="81">
        <f t="shared" si="156"/>
        <v>2.16</v>
      </c>
      <c r="R506" s="81">
        <f t="shared" si="156"/>
        <v>2.16</v>
      </c>
      <c r="S506" s="81">
        <f t="shared" si="156"/>
        <v>2.16</v>
      </c>
      <c r="T506" s="81">
        <f t="shared" si="156"/>
        <v>2.16</v>
      </c>
    </row>
    <row r="507" spans="1:20" ht="45">
      <c r="A507" s="62" t="s">
        <v>335</v>
      </c>
      <c r="B507" s="58">
        <f t="shared" si="153"/>
        <v>18.270346928527161</v>
      </c>
      <c r="C507" s="58">
        <v>2.7</v>
      </c>
      <c r="D507" s="78">
        <v>42.6</v>
      </c>
      <c r="E507" s="58">
        <f t="shared" si="154"/>
        <v>30.228608043850425</v>
      </c>
      <c r="F507" s="126">
        <f t="shared" si="155"/>
        <v>2.7</v>
      </c>
      <c r="G507" s="126">
        <v>2.5299999999999998</v>
      </c>
      <c r="H507" s="49"/>
      <c r="I507" s="49"/>
      <c r="J507" s="49"/>
      <c r="K507" s="49"/>
      <c r="L507" s="49"/>
      <c r="O507" s="62" t="s">
        <v>335</v>
      </c>
      <c r="P507" s="81">
        <f t="shared" si="156"/>
        <v>2.16</v>
      </c>
      <c r="Q507" s="81">
        <f t="shared" si="156"/>
        <v>2.16</v>
      </c>
      <c r="R507" s="81">
        <f t="shared" si="156"/>
        <v>2.16</v>
      </c>
      <c r="S507" s="81">
        <f t="shared" si="156"/>
        <v>2.16</v>
      </c>
      <c r="T507" s="81">
        <f t="shared" si="156"/>
        <v>2.16</v>
      </c>
    </row>
    <row r="508" spans="1:20" ht="45">
      <c r="A508" s="256" t="s">
        <v>738</v>
      </c>
      <c r="B508" s="58">
        <f t="shared" ref="B508:B509" si="157">L470</f>
        <v>13.948451087579295</v>
      </c>
      <c r="C508" s="58">
        <v>2.7</v>
      </c>
      <c r="D508" s="78">
        <v>10.9</v>
      </c>
      <c r="E508" s="58">
        <f t="shared" ref="E508:E509" si="158">1/(SQRT((1/L489)^2+(1/(D508*E489)^2)))</f>
        <v>15.542620745026749</v>
      </c>
      <c r="F508" s="126">
        <f t="shared" ref="F508:F509" si="159">MIN(B508,C508,E508)</f>
        <v>2.7</v>
      </c>
      <c r="G508" s="126">
        <v>3.53</v>
      </c>
      <c r="H508" s="49"/>
      <c r="I508" s="49"/>
      <c r="J508" s="49"/>
      <c r="K508" s="49"/>
      <c r="L508" s="49"/>
      <c r="O508" s="256" t="s">
        <v>738</v>
      </c>
      <c r="P508" s="81"/>
      <c r="Q508" s="81"/>
      <c r="R508" s="81"/>
      <c r="S508" s="81"/>
      <c r="T508" s="81"/>
    </row>
    <row r="509" spans="1:20" ht="45">
      <c r="A509" s="256" t="s">
        <v>727</v>
      </c>
      <c r="B509" s="58">
        <f t="shared" si="157"/>
        <v>16.681385860890334</v>
      </c>
      <c r="C509" s="58">
        <v>2.7</v>
      </c>
      <c r="D509" s="78">
        <v>19.100000000000001</v>
      </c>
      <c r="E509" s="58">
        <f t="shared" si="158"/>
        <v>20.530598646371722</v>
      </c>
      <c r="F509" s="126">
        <f t="shared" si="159"/>
        <v>2.7</v>
      </c>
      <c r="G509" s="126">
        <v>4.53</v>
      </c>
      <c r="H509" s="49"/>
      <c r="I509" s="49"/>
      <c r="J509" s="49"/>
      <c r="K509" s="49"/>
      <c r="L509" s="49"/>
      <c r="O509" s="256" t="s">
        <v>727</v>
      </c>
      <c r="P509" s="81"/>
      <c r="Q509" s="81"/>
      <c r="R509" s="81"/>
      <c r="S509" s="81"/>
      <c r="T509" s="81"/>
    </row>
    <row r="510" spans="1:20" ht="45">
      <c r="A510" s="256" t="s">
        <v>336</v>
      </c>
      <c r="B510" s="58">
        <f t="shared" ref="B510:B516" si="160">L472</f>
        <v>19.414320634201374</v>
      </c>
      <c r="C510" s="58">
        <v>2.7</v>
      </c>
      <c r="D510" s="78">
        <v>29.6</v>
      </c>
      <c r="E510" s="58">
        <f t="shared" ref="E510:E516" si="161">1/(SQRT((1/L491)^2+(1/(D510*E491)^2)))</f>
        <v>25.405656567957546</v>
      </c>
      <c r="F510" s="126">
        <f t="shared" si="155"/>
        <v>2.7</v>
      </c>
      <c r="G510" s="126">
        <v>2.5299999999999998</v>
      </c>
      <c r="H510" s="49"/>
      <c r="I510" s="49"/>
      <c r="J510" s="49"/>
      <c r="K510" s="49"/>
      <c r="L510" s="49"/>
      <c r="O510" s="62" t="s">
        <v>336</v>
      </c>
      <c r="P510" s="81">
        <f t="shared" si="156"/>
        <v>2.16</v>
      </c>
      <c r="Q510" s="81">
        <f t="shared" si="156"/>
        <v>2.16</v>
      </c>
      <c r="R510" s="81">
        <f t="shared" si="156"/>
        <v>2.16</v>
      </c>
      <c r="S510" s="81">
        <f t="shared" si="156"/>
        <v>2.16</v>
      </c>
      <c r="T510" s="81">
        <f t="shared" si="156"/>
        <v>2.16</v>
      </c>
    </row>
    <row r="511" spans="1:20" ht="45">
      <c r="A511" s="256" t="s">
        <v>337</v>
      </c>
      <c r="B511" s="58">
        <f t="shared" si="160"/>
        <v>22.147255407512411</v>
      </c>
      <c r="C511" s="58">
        <v>2.7</v>
      </c>
      <c r="D511" s="78">
        <v>42.6</v>
      </c>
      <c r="E511" s="58">
        <f t="shared" si="161"/>
        <v>30.228608043850425</v>
      </c>
      <c r="F511" s="126">
        <f t="shared" si="155"/>
        <v>2.7</v>
      </c>
      <c r="G511" s="126">
        <v>2.5299999999999998</v>
      </c>
      <c r="H511" s="49"/>
      <c r="I511" s="49"/>
      <c r="J511" s="49"/>
      <c r="K511" s="49"/>
      <c r="L511" s="49"/>
      <c r="O511" s="62" t="s">
        <v>337</v>
      </c>
      <c r="P511" s="81">
        <f t="shared" si="156"/>
        <v>2.16</v>
      </c>
      <c r="Q511" s="81">
        <f t="shared" si="156"/>
        <v>2.16</v>
      </c>
      <c r="R511" s="81">
        <f t="shared" si="156"/>
        <v>2.16</v>
      </c>
      <c r="S511" s="81">
        <f t="shared" si="156"/>
        <v>2.16</v>
      </c>
      <c r="T511" s="81">
        <f t="shared" si="156"/>
        <v>2.16</v>
      </c>
    </row>
    <row r="512" spans="1:20" ht="45">
      <c r="A512" s="62" t="s">
        <v>338</v>
      </c>
      <c r="B512" s="58">
        <f t="shared" si="160"/>
        <v>12.374379139580027</v>
      </c>
      <c r="C512" s="58">
        <v>2.7</v>
      </c>
      <c r="D512" s="78">
        <v>27.6</v>
      </c>
      <c r="E512" s="58">
        <f t="shared" si="161"/>
        <v>19.761222649658258</v>
      </c>
      <c r="F512" s="126">
        <f t="shared" si="155"/>
        <v>2.7</v>
      </c>
      <c r="G512" s="126">
        <v>2.5299999999999998</v>
      </c>
      <c r="H512" s="49"/>
      <c r="I512" s="49"/>
      <c r="J512" s="49"/>
      <c r="K512" s="49"/>
      <c r="L512" s="49"/>
      <c r="O512" s="62" t="s">
        <v>338</v>
      </c>
      <c r="P512" s="81">
        <f t="shared" si="156"/>
        <v>2.16</v>
      </c>
      <c r="Q512" s="81">
        <f t="shared" si="156"/>
        <v>2.16</v>
      </c>
      <c r="R512" s="81">
        <f t="shared" si="156"/>
        <v>2.16</v>
      </c>
      <c r="S512" s="81">
        <f t="shared" si="156"/>
        <v>2.16</v>
      </c>
      <c r="T512" s="81">
        <f t="shared" si="156"/>
        <v>2.16</v>
      </c>
    </row>
    <row r="513" spans="1:20" ht="48" customHeight="1">
      <c r="A513" s="62" t="s">
        <v>339</v>
      </c>
      <c r="B513" s="58">
        <f t="shared" si="160"/>
        <v>17.840248686202102</v>
      </c>
      <c r="C513" s="58">
        <v>2.7</v>
      </c>
      <c r="D513" s="78">
        <v>56.5</v>
      </c>
      <c r="E513" s="58">
        <f t="shared" si="161"/>
        <v>29.26363190050586</v>
      </c>
      <c r="F513" s="126">
        <f t="shared" si="155"/>
        <v>2.7</v>
      </c>
      <c r="G513" s="126">
        <v>2.5299999999999998</v>
      </c>
      <c r="H513" s="49"/>
      <c r="I513" s="49"/>
      <c r="J513" s="49"/>
      <c r="K513" s="49"/>
      <c r="L513" s="49"/>
      <c r="O513" s="62" t="s">
        <v>339</v>
      </c>
      <c r="P513" s="81">
        <f t="shared" si="156"/>
        <v>2.16</v>
      </c>
      <c r="Q513" s="81">
        <f t="shared" si="156"/>
        <v>2.16</v>
      </c>
      <c r="R513" s="81">
        <f t="shared" si="156"/>
        <v>2.16</v>
      </c>
      <c r="S513" s="81">
        <f t="shared" si="156"/>
        <v>2.16</v>
      </c>
      <c r="T513" s="81">
        <f t="shared" si="156"/>
        <v>2.16</v>
      </c>
    </row>
    <row r="514" spans="1:20" ht="48" customHeight="1">
      <c r="A514" s="62" t="s">
        <v>340</v>
      </c>
      <c r="B514" s="58">
        <f t="shared" si="160"/>
        <v>23.306118232824183</v>
      </c>
      <c r="C514" s="58">
        <v>2.7</v>
      </c>
      <c r="D514" s="78">
        <v>94.8</v>
      </c>
      <c r="E514" s="58">
        <f t="shared" si="161"/>
        <v>38.73832454314239</v>
      </c>
      <c r="F514" s="126">
        <f t="shared" si="155"/>
        <v>2.7</v>
      </c>
      <c r="G514" s="126">
        <v>2.5299999999999998</v>
      </c>
      <c r="H514" s="49"/>
      <c r="I514" s="49"/>
      <c r="J514" s="49"/>
      <c r="K514" s="49"/>
      <c r="L514" s="49"/>
      <c r="O514" s="62" t="s">
        <v>340</v>
      </c>
      <c r="P514" s="81">
        <f t="shared" si="156"/>
        <v>2.16</v>
      </c>
      <c r="Q514" s="81">
        <f t="shared" si="156"/>
        <v>2.16</v>
      </c>
      <c r="R514" s="81">
        <f t="shared" si="156"/>
        <v>2.16</v>
      </c>
      <c r="S514" s="81">
        <f t="shared" si="156"/>
        <v>2.16</v>
      </c>
      <c r="T514" s="81">
        <f t="shared" si="156"/>
        <v>2.16</v>
      </c>
    </row>
    <row r="515" spans="1:20" ht="48" customHeight="1">
      <c r="A515" s="62" t="s">
        <v>341</v>
      </c>
      <c r="B515" s="58">
        <f t="shared" si="160"/>
        <v>28.771987779446256</v>
      </c>
      <c r="C515" s="58">
        <v>2.7</v>
      </c>
      <c r="D515" s="78">
        <v>94.8</v>
      </c>
      <c r="E515" s="58">
        <f t="shared" si="161"/>
        <v>48.006718847093246</v>
      </c>
      <c r="F515" s="126">
        <f t="shared" si="155"/>
        <v>2.7</v>
      </c>
      <c r="G515" s="126">
        <v>3.53</v>
      </c>
      <c r="H515" s="49"/>
      <c r="I515" s="49"/>
      <c r="J515" s="49"/>
      <c r="K515" s="49"/>
      <c r="L515" s="49"/>
      <c r="O515" s="62" t="s">
        <v>341</v>
      </c>
      <c r="P515" s="81">
        <f t="shared" si="156"/>
        <v>2.16</v>
      </c>
      <c r="Q515" s="81">
        <f t="shared" si="156"/>
        <v>2.16</v>
      </c>
      <c r="R515" s="81">
        <f t="shared" si="156"/>
        <v>2.16</v>
      </c>
      <c r="S515" s="81">
        <f t="shared" si="156"/>
        <v>2.16</v>
      </c>
      <c r="T515" s="81">
        <f t="shared" si="156"/>
        <v>2.16</v>
      </c>
    </row>
    <row r="516" spans="1:20" ht="48" customHeight="1">
      <c r="A516" s="62" t="s">
        <v>342</v>
      </c>
      <c r="B516" s="58">
        <f t="shared" si="160"/>
        <v>34.237857326068337</v>
      </c>
      <c r="C516" s="58">
        <v>2.7</v>
      </c>
      <c r="D516" s="78">
        <v>94.8</v>
      </c>
      <c r="E516" s="58">
        <f t="shared" si="161"/>
        <v>57.197446004414836</v>
      </c>
      <c r="F516" s="126">
        <f t="shared" si="155"/>
        <v>2.7</v>
      </c>
      <c r="G516" s="126">
        <v>4.53</v>
      </c>
      <c r="H516" s="49"/>
      <c r="I516" s="49"/>
      <c r="J516" s="49"/>
      <c r="K516" s="49"/>
      <c r="L516" s="49"/>
      <c r="O516" s="62" t="s">
        <v>342</v>
      </c>
      <c r="P516" s="81">
        <f t="shared" si="156"/>
        <v>2.16</v>
      </c>
      <c r="Q516" s="81">
        <f t="shared" si="156"/>
        <v>2.16</v>
      </c>
      <c r="R516" s="81">
        <f t="shared" si="156"/>
        <v>2.16</v>
      </c>
      <c r="S516" s="81">
        <f t="shared" si="156"/>
        <v>2.16</v>
      </c>
      <c r="T516" s="81">
        <f t="shared" si="156"/>
        <v>2.16</v>
      </c>
    </row>
    <row r="517" spans="1:20">
      <c r="H517" s="49"/>
      <c r="I517" s="49"/>
      <c r="J517" s="49"/>
      <c r="K517" s="49"/>
      <c r="L517" s="49"/>
      <c r="P517" s="664" t="s">
        <v>137</v>
      </c>
      <c r="Q517" s="665"/>
      <c r="R517" s="665"/>
      <c r="S517" s="665"/>
      <c r="T517" s="666"/>
    </row>
    <row r="518" spans="1:20" ht="45">
      <c r="A518" s="62" t="s">
        <v>330</v>
      </c>
      <c r="B518" s="58">
        <f t="shared" ref="B518:B525" si="162">L464</f>
        <v>5.0357713042970218</v>
      </c>
      <c r="C518" s="58">
        <f>2.7*2</f>
        <v>5.4</v>
      </c>
      <c r="D518" s="78">
        <v>2.2999999999999998</v>
      </c>
      <c r="E518" s="58">
        <f t="shared" ref="E518:E525" si="163">1/(SQRT((1/L483)^2+(1/(D518*E483)^2)))</f>
        <v>6.2904365361145143</v>
      </c>
      <c r="F518" s="126">
        <f>MIN(B518,C518,E518)</f>
        <v>5.0357713042970218</v>
      </c>
      <c r="G518" s="126">
        <f>2.53*2</f>
        <v>5.0599999999999996</v>
      </c>
      <c r="H518" s="49"/>
      <c r="I518" s="49"/>
      <c r="J518" s="49"/>
      <c r="K518" s="49"/>
      <c r="L518" s="49"/>
      <c r="O518" s="62" t="s">
        <v>330</v>
      </c>
      <c r="P518" s="81">
        <f t="shared" ref="P518:T532" si="164">MIN(P$501*$B518/1.3,$C518/1.25,P$501*$E518/1.3)</f>
        <v>2.324202140444779</v>
      </c>
      <c r="Q518" s="81">
        <f t="shared" si="164"/>
        <v>2.7115691638522423</v>
      </c>
      <c r="R518" s="81">
        <f t="shared" si="164"/>
        <v>3.0989361872597057</v>
      </c>
      <c r="S518" s="81">
        <f t="shared" si="164"/>
        <v>3.4863032106671694</v>
      </c>
      <c r="T518" s="81">
        <f t="shared" si="164"/>
        <v>3.8736702340746318</v>
      </c>
    </row>
    <row r="519" spans="1:20" ht="45">
      <c r="A519" s="62" t="s">
        <v>334</v>
      </c>
      <c r="B519" s="58">
        <f t="shared" si="162"/>
        <v>7.3386078352830051</v>
      </c>
      <c r="C519" s="58">
        <f t="shared" ref="C519:C532" si="165">2.7*2</f>
        <v>5.4</v>
      </c>
      <c r="D519" s="78">
        <v>5.09</v>
      </c>
      <c r="E519" s="58">
        <f t="shared" si="163"/>
        <v>10.34044741465582</v>
      </c>
      <c r="F519" s="126">
        <f t="shared" ref="F519:F532" si="166">MIN(B519,C519,E519)</f>
        <v>5.4</v>
      </c>
      <c r="G519" s="126">
        <f t="shared" ref="G519:G532" si="167">2.53*2</f>
        <v>5.0599999999999996</v>
      </c>
      <c r="H519" s="49"/>
      <c r="I519" s="49"/>
      <c r="J519" s="49"/>
      <c r="K519" s="49"/>
      <c r="L519" s="49"/>
      <c r="O519" s="62" t="s">
        <v>334</v>
      </c>
      <c r="P519" s="81">
        <f t="shared" si="164"/>
        <v>3.3870497701306173</v>
      </c>
      <c r="Q519" s="81">
        <f t="shared" si="164"/>
        <v>3.9515580651523869</v>
      </c>
      <c r="R519" s="81">
        <f t="shared" si="164"/>
        <v>4.32</v>
      </c>
      <c r="S519" s="81">
        <f t="shared" si="164"/>
        <v>4.32</v>
      </c>
      <c r="T519" s="81">
        <f t="shared" si="164"/>
        <v>4.32</v>
      </c>
    </row>
    <row r="520" spans="1:20" ht="45">
      <c r="A520" s="62" t="s">
        <v>331</v>
      </c>
      <c r="B520" s="58">
        <f t="shared" si="162"/>
        <v>10.071542608594044</v>
      </c>
      <c r="C520" s="58">
        <f t="shared" si="165"/>
        <v>5.4</v>
      </c>
      <c r="D520" s="78">
        <v>10.9</v>
      </c>
      <c r="E520" s="58">
        <f t="shared" si="163"/>
        <v>15.542620745026749</v>
      </c>
      <c r="F520" s="126">
        <f t="shared" si="166"/>
        <v>5.4</v>
      </c>
      <c r="G520" s="126">
        <f t="shared" si="167"/>
        <v>5.0599999999999996</v>
      </c>
      <c r="H520" s="49"/>
      <c r="I520" s="49"/>
      <c r="J520" s="49"/>
      <c r="K520" s="49"/>
      <c r="L520" s="49"/>
      <c r="O520" s="62" t="s">
        <v>331</v>
      </c>
      <c r="P520" s="81">
        <f t="shared" si="164"/>
        <v>4.32</v>
      </c>
      <c r="Q520" s="81">
        <f t="shared" si="164"/>
        <v>4.32</v>
      </c>
      <c r="R520" s="81">
        <f t="shared" si="164"/>
        <v>4.32</v>
      </c>
      <c r="S520" s="81">
        <f t="shared" si="164"/>
        <v>4.32</v>
      </c>
      <c r="T520" s="81">
        <f t="shared" si="164"/>
        <v>4.32</v>
      </c>
    </row>
    <row r="521" spans="1:20" ht="45">
      <c r="A521" s="62" t="s">
        <v>333</v>
      </c>
      <c r="B521" s="58">
        <f t="shared" si="162"/>
        <v>12.804477381905082</v>
      </c>
      <c r="C521" s="58">
        <f t="shared" si="165"/>
        <v>5.4</v>
      </c>
      <c r="D521" s="78">
        <v>19.100000000000001</v>
      </c>
      <c r="E521" s="58">
        <f t="shared" si="163"/>
        <v>20.530598646371722</v>
      </c>
      <c r="F521" s="126">
        <f t="shared" si="166"/>
        <v>5.4</v>
      </c>
      <c r="G521" s="126">
        <f t="shared" si="167"/>
        <v>5.0599999999999996</v>
      </c>
      <c r="H521" s="49"/>
      <c r="I521" s="49"/>
      <c r="J521" s="49"/>
      <c r="K521" s="49"/>
      <c r="L521" s="49"/>
      <c r="O521" s="62" t="s">
        <v>333</v>
      </c>
      <c r="P521" s="81">
        <f t="shared" si="164"/>
        <v>4.32</v>
      </c>
      <c r="Q521" s="81">
        <f t="shared" si="164"/>
        <v>4.32</v>
      </c>
      <c r="R521" s="81">
        <f t="shared" si="164"/>
        <v>4.32</v>
      </c>
      <c r="S521" s="81">
        <f t="shared" si="164"/>
        <v>4.32</v>
      </c>
      <c r="T521" s="81">
        <f t="shared" si="164"/>
        <v>4.32</v>
      </c>
    </row>
    <row r="522" spans="1:20" ht="45">
      <c r="A522" s="62" t="s">
        <v>332</v>
      </c>
      <c r="B522" s="58">
        <f t="shared" si="162"/>
        <v>15.537412155216121</v>
      </c>
      <c r="C522" s="58">
        <f t="shared" si="165"/>
        <v>5.4</v>
      </c>
      <c r="D522" s="78">
        <v>29.6</v>
      </c>
      <c r="E522" s="58">
        <f t="shared" si="163"/>
        <v>25.405656567957546</v>
      </c>
      <c r="F522" s="126">
        <f t="shared" si="166"/>
        <v>5.4</v>
      </c>
      <c r="G522" s="126">
        <f t="shared" si="167"/>
        <v>5.0599999999999996</v>
      </c>
      <c r="H522" s="49"/>
      <c r="I522" s="49"/>
      <c r="J522" s="49"/>
      <c r="K522" s="49"/>
      <c r="L522" s="49"/>
      <c r="O522" s="62" t="s">
        <v>332</v>
      </c>
      <c r="P522" s="81">
        <f t="shared" si="164"/>
        <v>4.32</v>
      </c>
      <c r="Q522" s="81">
        <f t="shared" si="164"/>
        <v>4.32</v>
      </c>
      <c r="R522" s="81">
        <f t="shared" si="164"/>
        <v>4.32</v>
      </c>
      <c r="S522" s="81">
        <f t="shared" si="164"/>
        <v>4.32</v>
      </c>
      <c r="T522" s="81">
        <f t="shared" si="164"/>
        <v>4.32</v>
      </c>
    </row>
    <row r="523" spans="1:20" ht="45">
      <c r="A523" s="62" t="s">
        <v>335</v>
      </c>
      <c r="B523" s="58">
        <f t="shared" si="162"/>
        <v>18.270346928527161</v>
      </c>
      <c r="C523" s="58">
        <f t="shared" si="165"/>
        <v>5.4</v>
      </c>
      <c r="D523" s="78">
        <v>42.6</v>
      </c>
      <c r="E523" s="58">
        <f t="shared" si="163"/>
        <v>30.228608043850425</v>
      </c>
      <c r="F523" s="126">
        <f t="shared" si="166"/>
        <v>5.4</v>
      </c>
      <c r="G523" s="126">
        <f t="shared" si="167"/>
        <v>5.0599999999999996</v>
      </c>
      <c r="H523" s="49"/>
      <c r="I523" s="49"/>
      <c r="J523" s="49"/>
      <c r="K523" s="49"/>
      <c r="L523" s="49"/>
      <c r="O523" s="62" t="s">
        <v>335</v>
      </c>
      <c r="P523" s="81">
        <f t="shared" si="164"/>
        <v>4.32</v>
      </c>
      <c r="Q523" s="81">
        <f t="shared" si="164"/>
        <v>4.32</v>
      </c>
      <c r="R523" s="81">
        <f t="shared" si="164"/>
        <v>4.32</v>
      </c>
      <c r="S523" s="81">
        <f t="shared" si="164"/>
        <v>4.32</v>
      </c>
      <c r="T523" s="81">
        <f t="shared" si="164"/>
        <v>4.32</v>
      </c>
    </row>
    <row r="524" spans="1:20" ht="45">
      <c r="A524" s="256" t="s">
        <v>738</v>
      </c>
      <c r="B524" s="58">
        <f t="shared" si="162"/>
        <v>13.948451087579295</v>
      </c>
      <c r="C524" s="58">
        <f t="shared" si="165"/>
        <v>5.4</v>
      </c>
      <c r="D524" s="78">
        <v>27.6</v>
      </c>
      <c r="E524" s="58">
        <f t="shared" si="163"/>
        <v>16.34933002969051</v>
      </c>
      <c r="F524" s="126">
        <f t="shared" si="166"/>
        <v>5.4</v>
      </c>
      <c r="G524" s="126">
        <f t="shared" si="167"/>
        <v>5.0599999999999996</v>
      </c>
      <c r="H524" s="49"/>
      <c r="I524" s="49"/>
      <c r="J524" s="49"/>
      <c r="K524" s="49"/>
      <c r="L524" s="49"/>
      <c r="O524" s="62"/>
      <c r="P524" s="81"/>
      <c r="Q524" s="81"/>
      <c r="R524" s="81"/>
      <c r="S524" s="81"/>
      <c r="T524" s="81"/>
    </row>
    <row r="525" spans="1:20" ht="45">
      <c r="A525" s="256" t="s">
        <v>727</v>
      </c>
      <c r="B525" s="58">
        <f t="shared" si="162"/>
        <v>16.681385860890334</v>
      </c>
      <c r="C525" s="58">
        <f t="shared" si="165"/>
        <v>5.4</v>
      </c>
      <c r="D525" s="78">
        <v>28.6</v>
      </c>
      <c r="E525" s="58">
        <f t="shared" si="163"/>
        <v>20.909347983799968</v>
      </c>
      <c r="F525" s="126">
        <f t="shared" si="166"/>
        <v>5.4</v>
      </c>
      <c r="G525" s="126">
        <f t="shared" si="167"/>
        <v>5.0599999999999996</v>
      </c>
      <c r="H525" s="49"/>
      <c r="I525" s="49"/>
      <c r="J525" s="49"/>
      <c r="K525" s="49"/>
      <c r="L525" s="49"/>
      <c r="O525" s="62"/>
      <c r="P525" s="81"/>
      <c r="Q525" s="81"/>
      <c r="R525" s="81"/>
      <c r="S525" s="81"/>
      <c r="T525" s="81"/>
    </row>
    <row r="526" spans="1:20" ht="45">
      <c r="A526" s="256" t="s">
        <v>336</v>
      </c>
      <c r="B526" s="58">
        <f t="shared" ref="B526:B532" si="168">L472</f>
        <v>19.414320634201374</v>
      </c>
      <c r="C526" s="58">
        <f t="shared" si="165"/>
        <v>5.4</v>
      </c>
      <c r="D526" s="78">
        <v>29.6</v>
      </c>
      <c r="E526" s="58">
        <f t="shared" ref="E526:E532" si="169">1/(SQRT((1/L491)^2+(1/(D526*E491)^2)))</f>
        <v>25.405656567957546</v>
      </c>
      <c r="F526" s="126">
        <f>MIN(B526,C526,E526)</f>
        <v>5.4</v>
      </c>
      <c r="G526" s="126">
        <f t="shared" si="167"/>
        <v>5.0599999999999996</v>
      </c>
      <c r="H526" s="49"/>
      <c r="I526" s="49"/>
      <c r="J526" s="49"/>
      <c r="K526" s="49"/>
      <c r="L526" s="49"/>
      <c r="O526" s="256" t="s">
        <v>336</v>
      </c>
      <c r="P526" s="81">
        <f t="shared" si="164"/>
        <v>4.32</v>
      </c>
      <c r="Q526" s="81">
        <f t="shared" si="164"/>
        <v>4.32</v>
      </c>
      <c r="R526" s="81">
        <f t="shared" si="164"/>
        <v>4.32</v>
      </c>
      <c r="S526" s="81">
        <f t="shared" si="164"/>
        <v>4.32</v>
      </c>
      <c r="T526" s="81">
        <f t="shared" si="164"/>
        <v>4.32</v>
      </c>
    </row>
    <row r="527" spans="1:20" ht="45">
      <c r="A527" s="256" t="s">
        <v>337</v>
      </c>
      <c r="B527" s="58">
        <f t="shared" si="168"/>
        <v>22.147255407512411</v>
      </c>
      <c r="C527" s="58">
        <f t="shared" si="165"/>
        <v>5.4</v>
      </c>
      <c r="D527" s="78">
        <v>42.6</v>
      </c>
      <c r="E527" s="58">
        <f t="shared" si="169"/>
        <v>30.228608043850425</v>
      </c>
      <c r="F527" s="126">
        <f>MIN(B527,C527,E527)</f>
        <v>5.4</v>
      </c>
      <c r="G527" s="126">
        <f t="shared" si="167"/>
        <v>5.0599999999999996</v>
      </c>
      <c r="H527" s="49"/>
      <c r="I527" s="49"/>
      <c r="J527" s="49"/>
      <c r="K527" s="49"/>
      <c r="L527" s="49"/>
      <c r="O527" s="256" t="s">
        <v>337</v>
      </c>
      <c r="P527" s="81">
        <f t="shared" si="164"/>
        <v>4.32</v>
      </c>
      <c r="Q527" s="81">
        <f t="shared" si="164"/>
        <v>4.32</v>
      </c>
      <c r="R527" s="81">
        <f t="shared" si="164"/>
        <v>4.32</v>
      </c>
      <c r="S527" s="81">
        <f t="shared" si="164"/>
        <v>4.32</v>
      </c>
      <c r="T527" s="81">
        <f t="shared" si="164"/>
        <v>4.32</v>
      </c>
    </row>
    <row r="528" spans="1:20" ht="45">
      <c r="A528" s="62" t="s">
        <v>338</v>
      </c>
      <c r="B528" s="58">
        <f t="shared" si="168"/>
        <v>12.374379139580027</v>
      </c>
      <c r="C528" s="58">
        <f t="shared" si="165"/>
        <v>5.4</v>
      </c>
      <c r="D528" s="78">
        <v>27.6</v>
      </c>
      <c r="E528" s="58">
        <f t="shared" si="169"/>
        <v>19.761222649658258</v>
      </c>
      <c r="F528" s="126">
        <f t="shared" si="166"/>
        <v>5.4</v>
      </c>
      <c r="G528" s="126">
        <f t="shared" si="167"/>
        <v>5.0599999999999996</v>
      </c>
      <c r="H528" s="49"/>
      <c r="I528" s="49"/>
      <c r="J528" s="49"/>
      <c r="K528" s="49"/>
      <c r="L528" s="49"/>
      <c r="O528" s="62" t="s">
        <v>338</v>
      </c>
      <c r="P528" s="81">
        <f t="shared" si="164"/>
        <v>4.32</v>
      </c>
      <c r="Q528" s="81">
        <f t="shared" si="164"/>
        <v>4.32</v>
      </c>
      <c r="R528" s="81">
        <f t="shared" si="164"/>
        <v>4.32</v>
      </c>
      <c r="S528" s="81">
        <f t="shared" si="164"/>
        <v>4.32</v>
      </c>
      <c r="T528" s="81">
        <f t="shared" si="164"/>
        <v>4.32</v>
      </c>
    </row>
    <row r="529" spans="1:20" ht="45" customHeight="1">
      <c r="A529" s="62" t="s">
        <v>339</v>
      </c>
      <c r="B529" s="58">
        <f t="shared" si="168"/>
        <v>17.840248686202102</v>
      </c>
      <c r="C529" s="58">
        <f t="shared" si="165"/>
        <v>5.4</v>
      </c>
      <c r="D529" s="78">
        <v>56.5</v>
      </c>
      <c r="E529" s="58">
        <f t="shared" si="169"/>
        <v>29.26363190050586</v>
      </c>
      <c r="F529" s="126">
        <f t="shared" si="166"/>
        <v>5.4</v>
      </c>
      <c r="G529" s="126">
        <f t="shared" si="167"/>
        <v>5.0599999999999996</v>
      </c>
      <c r="H529" s="49"/>
      <c r="I529" s="49"/>
      <c r="J529" s="49"/>
      <c r="K529" s="49"/>
      <c r="L529" s="49"/>
      <c r="O529" s="62" t="s">
        <v>339</v>
      </c>
      <c r="P529" s="81">
        <f t="shared" si="164"/>
        <v>4.32</v>
      </c>
      <c r="Q529" s="81">
        <f t="shared" si="164"/>
        <v>4.32</v>
      </c>
      <c r="R529" s="81">
        <f t="shared" si="164"/>
        <v>4.32</v>
      </c>
      <c r="S529" s="81">
        <f t="shared" si="164"/>
        <v>4.32</v>
      </c>
      <c r="T529" s="81">
        <f t="shared" si="164"/>
        <v>4.32</v>
      </c>
    </row>
    <row r="530" spans="1:20" ht="45" customHeight="1">
      <c r="A530" s="62" t="s">
        <v>340</v>
      </c>
      <c r="B530" s="58">
        <f t="shared" si="168"/>
        <v>23.306118232824183</v>
      </c>
      <c r="C530" s="58">
        <f t="shared" si="165"/>
        <v>5.4</v>
      </c>
      <c r="D530" s="78">
        <v>94.8</v>
      </c>
      <c r="E530" s="58">
        <f t="shared" si="169"/>
        <v>38.73832454314239</v>
      </c>
      <c r="F530" s="126">
        <f t="shared" si="166"/>
        <v>5.4</v>
      </c>
      <c r="G530" s="126">
        <f t="shared" si="167"/>
        <v>5.0599999999999996</v>
      </c>
      <c r="O530" s="62" t="s">
        <v>340</v>
      </c>
      <c r="P530" s="81">
        <f t="shared" si="164"/>
        <v>4.32</v>
      </c>
      <c r="Q530" s="81">
        <f t="shared" si="164"/>
        <v>4.32</v>
      </c>
      <c r="R530" s="81">
        <f t="shared" si="164"/>
        <v>4.32</v>
      </c>
      <c r="S530" s="81">
        <f t="shared" si="164"/>
        <v>4.32</v>
      </c>
      <c r="T530" s="81">
        <f t="shared" si="164"/>
        <v>4.32</v>
      </c>
    </row>
    <row r="531" spans="1:20" ht="45" customHeight="1">
      <c r="A531" s="62" t="s">
        <v>341</v>
      </c>
      <c r="B531" s="58">
        <f t="shared" si="168"/>
        <v>28.771987779446256</v>
      </c>
      <c r="C531" s="58">
        <f t="shared" si="165"/>
        <v>5.4</v>
      </c>
      <c r="D531" s="78">
        <v>94.8</v>
      </c>
      <c r="E531" s="58">
        <f t="shared" si="169"/>
        <v>48.006718847093246</v>
      </c>
      <c r="F531" s="126">
        <f t="shared" si="166"/>
        <v>5.4</v>
      </c>
      <c r="G531" s="126">
        <f t="shared" si="167"/>
        <v>5.0599999999999996</v>
      </c>
      <c r="O531" s="62" t="s">
        <v>341</v>
      </c>
      <c r="P531" s="81">
        <f t="shared" si="164"/>
        <v>4.32</v>
      </c>
      <c r="Q531" s="81">
        <f t="shared" si="164"/>
        <v>4.32</v>
      </c>
      <c r="R531" s="81">
        <f t="shared" si="164"/>
        <v>4.32</v>
      </c>
      <c r="S531" s="81">
        <f t="shared" si="164"/>
        <v>4.32</v>
      </c>
      <c r="T531" s="81">
        <f t="shared" si="164"/>
        <v>4.32</v>
      </c>
    </row>
    <row r="532" spans="1:20" ht="45" customHeight="1">
      <c r="A532" s="62" t="s">
        <v>342</v>
      </c>
      <c r="B532" s="58">
        <f t="shared" si="168"/>
        <v>34.237857326068337</v>
      </c>
      <c r="C532" s="58">
        <f t="shared" si="165"/>
        <v>5.4</v>
      </c>
      <c r="D532" s="78">
        <v>94.8</v>
      </c>
      <c r="E532" s="58">
        <f t="shared" si="169"/>
        <v>57.197446004414836</v>
      </c>
      <c r="F532" s="126">
        <f t="shared" si="166"/>
        <v>5.4</v>
      </c>
      <c r="G532" s="126">
        <f t="shared" si="167"/>
        <v>5.0599999999999996</v>
      </c>
      <c r="O532" s="62" t="s">
        <v>342</v>
      </c>
      <c r="P532" s="81">
        <f t="shared" si="164"/>
        <v>4.32</v>
      </c>
      <c r="Q532" s="81">
        <f t="shared" si="164"/>
        <v>4.32</v>
      </c>
      <c r="R532" s="81">
        <f t="shared" si="164"/>
        <v>4.32</v>
      </c>
      <c r="S532" s="81">
        <f t="shared" si="164"/>
        <v>4.32</v>
      </c>
      <c r="T532" s="81">
        <f t="shared" si="164"/>
        <v>4.32</v>
      </c>
    </row>
    <row r="533" spans="1:20">
      <c r="D533" s="92"/>
    </row>
    <row r="534" spans="1:20" ht="18.75">
      <c r="A534" s="50" t="s">
        <v>1262</v>
      </c>
      <c r="D534" s="92"/>
    </row>
    <row r="535" spans="1:20">
      <c r="A535" s="19" t="s">
        <v>35</v>
      </c>
      <c r="B535" s="20" t="s">
        <v>25</v>
      </c>
      <c r="D535" s="92"/>
    </row>
    <row r="536" spans="1:20" ht="18">
      <c r="A536" s="21" t="s">
        <v>37</v>
      </c>
      <c r="B536">
        <f>VLOOKUP(B535,$V$7:$W$18,2,FALSE)</f>
        <v>385</v>
      </c>
      <c r="C536" t="s">
        <v>38</v>
      </c>
      <c r="P536"/>
      <c r="Q536"/>
      <c r="R536"/>
      <c r="S536"/>
    </row>
    <row r="537" spans="1:20" ht="18">
      <c r="A537" s="21" t="s">
        <v>59</v>
      </c>
      <c r="B537" s="49">
        <v>35000</v>
      </c>
      <c r="C537" s="49">
        <v>20000</v>
      </c>
      <c r="D537" t="s">
        <v>60</v>
      </c>
      <c r="P537"/>
      <c r="Q537"/>
      <c r="R537"/>
      <c r="S537"/>
    </row>
    <row r="538" spans="1:20">
      <c r="A538" s="21" t="s">
        <v>61</v>
      </c>
      <c r="B538" s="49">
        <v>10</v>
      </c>
      <c r="C538" s="49">
        <v>8</v>
      </c>
      <c r="D538" t="s">
        <v>62</v>
      </c>
      <c r="P538"/>
      <c r="Q538"/>
      <c r="R538"/>
      <c r="S538"/>
    </row>
    <row r="539" spans="1:20" ht="18">
      <c r="A539" s="21" t="s">
        <v>63</v>
      </c>
      <c r="B539" s="93">
        <f>0.033*$B$536*B538^-0.3</f>
        <v>6.3675838032344938</v>
      </c>
      <c r="C539" s="93">
        <f>0.033*$B$536*C538^-0.3</f>
        <v>6.808440920761802</v>
      </c>
      <c r="D539" t="s">
        <v>64</v>
      </c>
      <c r="P539"/>
      <c r="Q539"/>
      <c r="R539"/>
      <c r="S539"/>
    </row>
    <row r="540" spans="1:20" ht="18">
      <c r="A540" s="21" t="s">
        <v>65</v>
      </c>
      <c r="B540" s="70">
        <f>0.082*B538^-0.3*$B$536</f>
        <v>15.822480965612984</v>
      </c>
      <c r="C540" s="70">
        <f>0.082*C538^-0.3*$B$536</f>
        <v>16.917944106135387</v>
      </c>
      <c r="D540" t="s">
        <v>64</v>
      </c>
      <c r="P540"/>
      <c r="Q540"/>
      <c r="R540"/>
      <c r="S540"/>
    </row>
    <row r="542" spans="1:20">
      <c r="D542" s="92"/>
      <c r="P542"/>
      <c r="Q542"/>
      <c r="R542"/>
      <c r="S542"/>
    </row>
    <row r="543" spans="1:20">
      <c r="P543"/>
      <c r="Q543"/>
      <c r="R543"/>
      <c r="S543"/>
    </row>
    <row r="544" spans="1:20" ht="18">
      <c r="A544" s="3" t="s">
        <v>2</v>
      </c>
      <c r="B544" s="4" t="s">
        <v>41</v>
      </c>
      <c r="C544" s="4" t="s">
        <v>9</v>
      </c>
      <c r="D544" s="4" t="s">
        <v>42</v>
      </c>
      <c r="E544" s="4" t="s">
        <v>56</v>
      </c>
      <c r="F544" s="163" t="s">
        <v>57</v>
      </c>
      <c r="G544" s="4" t="s">
        <v>58</v>
      </c>
      <c r="H544" s="2"/>
      <c r="I544" s="2"/>
      <c r="J544" s="2"/>
      <c r="K544" s="2"/>
      <c r="P544"/>
      <c r="Q544"/>
      <c r="R544"/>
      <c r="S544"/>
    </row>
    <row r="545" spans="1:19">
      <c r="A545" s="7"/>
      <c r="B545" s="8" t="s">
        <v>19</v>
      </c>
      <c r="C545" s="8" t="s">
        <v>18</v>
      </c>
      <c r="D545" s="8" t="s">
        <v>18</v>
      </c>
      <c r="E545" s="8" t="s">
        <v>17</v>
      </c>
      <c r="F545" s="164" t="s">
        <v>17</v>
      </c>
      <c r="G545" s="56" t="s">
        <v>17</v>
      </c>
      <c r="H545" s="2"/>
      <c r="I545" s="2"/>
      <c r="J545" s="2"/>
      <c r="K545" s="2"/>
      <c r="P545"/>
      <c r="Q545"/>
      <c r="R545"/>
      <c r="S545"/>
    </row>
    <row r="546" spans="1:19" hidden="1">
      <c r="A546" s="13" t="s">
        <v>27</v>
      </c>
      <c r="B546" s="60">
        <v>1</v>
      </c>
      <c r="C546" s="60">
        <v>8</v>
      </c>
      <c r="D546" s="31">
        <v>137</v>
      </c>
      <c r="E546" s="59">
        <f>(0.3*0.52*SQRT(C546)*D546^0.9*$B$536^0.8)/1000</f>
        <v>4.3260017012857244</v>
      </c>
      <c r="F546" s="271">
        <f>MIN($C$539*$C$538*D546/1000,(2.3*SQRT($C$537*$C$538*$C$539))/1000+(E546/4),$C$539*$C$538*D546/1000*(SQRT(2+4*$C$537/($C$539*$C$538*D546^2))-1)+E546/4)</f>
        <v>3.482055443506348</v>
      </c>
      <c r="G546" s="59" t="e">
        <f>B546*F546+#REF!*K546</f>
        <v>#REF!</v>
      </c>
      <c r="H546" s="109">
        <v>8</v>
      </c>
      <c r="I546" s="218">
        <f>160-10</f>
        <v>150</v>
      </c>
      <c r="J546" s="110">
        <f>0.3*0.52*SQRT(H546)*I546^0.9*$B$536^0.8/1000</f>
        <v>4.6937538287484974</v>
      </c>
      <c r="K546" s="110">
        <f>MIN($C$539*$C$538*I546/1000,(2.3*SQRT($C$537*$C$538*$C$539))/1000+(J546/4),$C$539*$C$538*I546/1000*(SQRT(2+4*$C$537/($C$539*$C$538*I546^2))-1)+J546/4)</f>
        <v>3.573993475372041</v>
      </c>
      <c r="P546"/>
      <c r="Q546"/>
      <c r="R546"/>
      <c r="S546"/>
    </row>
    <row r="547" spans="1:19" hidden="1">
      <c r="A547" s="41" t="s">
        <v>28</v>
      </c>
      <c r="B547" s="60">
        <v>1</v>
      </c>
      <c r="C547" s="60">
        <v>8</v>
      </c>
      <c r="D547" s="31">
        <v>137</v>
      </c>
      <c r="E547" s="59">
        <f t="shared" ref="E547:E553" si="170">(0.3*0.52*SQRT(C547)*D547^0.9*$B$536^0.8)/1000</f>
        <v>4.3260017012857244</v>
      </c>
      <c r="F547" s="271">
        <f>MIN($C$539*$C$538*D547/1000,(2.3*SQRT($C$537*$C$538*$C$539))/1000+(E547/4),$C$539*$C$538*D547/1000*(SQRT(2+4*$C$537/($C$539*$C$538*D547^2))-1)+E547/4)</f>
        <v>3.482055443506348</v>
      </c>
      <c r="G547" s="59" t="e">
        <f>B547*F547+#REF!*K547</f>
        <v>#REF!</v>
      </c>
      <c r="H547" s="109">
        <v>8</v>
      </c>
      <c r="I547" s="218">
        <f>160-10</f>
        <v>150</v>
      </c>
      <c r="J547" s="110">
        <f t="shared" ref="J547:J553" si="171">0.3*0.52*SQRT(H547)*I547^0.9*$B$536^0.8/1000</f>
        <v>4.6937538287484974</v>
      </c>
      <c r="K547" s="110">
        <f>MIN($C$539*$C$538*I547/1000,(2.3*SQRT($C$537*$C$538*$C$539))/1000+(J547/4),$C$539*$C$538*I547/1000*(SQRT(2+4*$C$537/($C$539*$C$538*I547^2))-1)+J547/4)</f>
        <v>3.573993475372041</v>
      </c>
      <c r="P547"/>
      <c r="Q547"/>
      <c r="R547"/>
      <c r="S547"/>
    </row>
    <row r="548" spans="1:19" hidden="1">
      <c r="A548" s="13" t="s">
        <v>29</v>
      </c>
      <c r="B548" s="60">
        <v>1</v>
      </c>
      <c r="C548" s="60">
        <v>8</v>
      </c>
      <c r="D548" s="31">
        <v>137</v>
      </c>
      <c r="E548" s="59">
        <f t="shared" si="170"/>
        <v>4.3260017012857244</v>
      </c>
      <c r="F548" s="271">
        <f>MIN($C$539*$C$538*D548/1000,(2.3*SQRT($C$537*$C$538*$C$539))/1000+(E548/4),$C$539*$C$538*D548/1000*(SQRT(2+4*$C$537/($C$539*$C$538*D548^2))-1)+E548/4)</f>
        <v>3.482055443506348</v>
      </c>
      <c r="G548" s="59" t="e">
        <f>B548*F548+#REF!*K548</f>
        <v>#REF!</v>
      </c>
      <c r="H548" s="109">
        <v>8</v>
      </c>
      <c r="I548" s="218">
        <f>160-10</f>
        <v>150</v>
      </c>
      <c r="J548" s="110">
        <f t="shared" si="171"/>
        <v>4.6937538287484974</v>
      </c>
      <c r="K548" s="110">
        <f>MIN($C$539*$C$538*I548/1000,(2.3*SQRT($C$537*$C$538*$C$539))/1000+(J548/4),$C$539*$C$538*I548/1000*(SQRT(2+4*$C$537/($C$539*$C$538*I548^2))-1)+J548/4)</f>
        <v>3.573993475372041</v>
      </c>
      <c r="P548"/>
      <c r="Q548"/>
      <c r="R548"/>
      <c r="S548"/>
    </row>
    <row r="549" spans="1:19" hidden="1">
      <c r="A549" s="41" t="s">
        <v>30</v>
      </c>
      <c r="B549" s="60">
        <v>1</v>
      </c>
      <c r="C549" s="60">
        <v>8</v>
      </c>
      <c r="D549" s="31">
        <v>137</v>
      </c>
      <c r="E549" s="59">
        <f t="shared" si="170"/>
        <v>4.3260017012857244</v>
      </c>
      <c r="F549" s="271">
        <f>MIN($C$539*$C$538*D549/1000,(2.3*SQRT($C$537*$C$538*$C$539))/1000+(E549/4),$C$539*$C$538*D549/1000*(SQRT(2+4*$C$537/($C$539*$C$538*D549^2))-1)+E549/4)</f>
        <v>3.482055443506348</v>
      </c>
      <c r="G549" s="59" t="e">
        <f>B549*F549+#REF!*K549</f>
        <v>#REF!</v>
      </c>
      <c r="H549" s="109">
        <v>8</v>
      </c>
      <c r="I549" s="218">
        <f>160-10</f>
        <v>150</v>
      </c>
      <c r="J549" s="110">
        <f t="shared" si="171"/>
        <v>4.6937538287484974</v>
      </c>
      <c r="K549" s="110">
        <f>MIN($C$539*$C$538*I549/1000,(2.3*SQRT($C$537*$C$538*$C$539))/1000+(J549/4),$C$539*$C$538*I549/1000*(SQRT(2+4*$C$537/($C$539*$C$538*I549^2))-1)+J549/4)</f>
        <v>3.573993475372041</v>
      </c>
      <c r="P549"/>
      <c r="Q549"/>
      <c r="R549"/>
      <c r="S549"/>
    </row>
    <row r="550" spans="1:19" hidden="1">
      <c r="A550" s="13" t="s">
        <v>31</v>
      </c>
      <c r="B550" s="60">
        <v>1</v>
      </c>
      <c r="C550" s="60">
        <v>10</v>
      </c>
      <c r="D550" s="31">
        <v>175</v>
      </c>
      <c r="E550" s="59">
        <f t="shared" si="170"/>
        <v>6.0287520940422592</v>
      </c>
      <c r="F550" s="271">
        <f>MIN($B$539*$B$538*D550/1000,(2.3*SQRT($B$537*$B$538*$B$539))/1000+(E550/4),$B$539*$B$538*D550/1000*(SQRT(2+4*$B$537/($B$539*$B$538*D550^2))-1)+E550/4)</f>
        <v>4.9407840119298001</v>
      </c>
      <c r="G550" s="59" t="e">
        <f>B550*F550+#REF!*K550</f>
        <v>#REF!</v>
      </c>
      <c r="H550" s="109">
        <v>10</v>
      </c>
      <c r="I550" s="218">
        <v>190</v>
      </c>
      <c r="J550" s="110">
        <f t="shared" si="171"/>
        <v>6.4918940417166029</v>
      </c>
      <c r="K550" s="110">
        <f>MIN($B$539*$B$538*I550/1000,(2.3*SQRT($B$537*$B$538*$B$539))/1000+(J550/4),$B$539*$B$538*I550/1000*(SQRT(2+4*$B$537/($B$539*$B$538*I550^2))-1)+J550/4)</f>
        <v>5.0565694988483862</v>
      </c>
      <c r="P550"/>
      <c r="Q550"/>
      <c r="R550"/>
      <c r="S550"/>
    </row>
    <row r="551" spans="1:19" hidden="1">
      <c r="A551" s="41" t="s">
        <v>32</v>
      </c>
      <c r="B551" s="60">
        <v>1</v>
      </c>
      <c r="C551" s="60">
        <v>10</v>
      </c>
      <c r="D551" s="31">
        <v>175</v>
      </c>
      <c r="E551" s="59">
        <f t="shared" si="170"/>
        <v>6.0287520940422592</v>
      </c>
      <c r="F551" s="271">
        <f>MIN($B$539*$B$538*D551/1000,(2.3*SQRT($B$537*$B$538*$B$539))/1000+(E551/4),$B$539*$B$538*D551/1000*(SQRT(2+4*$B$537/($B$539*$B$538*D551^2))-1)+E551/4)</f>
        <v>4.9407840119298001</v>
      </c>
      <c r="G551" s="59" t="e">
        <f>B551*F551+#REF!*K551</f>
        <v>#REF!</v>
      </c>
      <c r="H551" s="109">
        <v>10</v>
      </c>
      <c r="I551" s="218">
        <v>190</v>
      </c>
      <c r="J551" s="110">
        <f t="shared" si="171"/>
        <v>6.4918940417166029</v>
      </c>
      <c r="K551" s="110">
        <f>MIN($B$539*$B$538*I551/1000,(2.3*SQRT($B$537*$B$538*$B$539))/1000+(J551/4),$B$539*$B$538*I551/1000*(SQRT(2+4*$B$537/($B$539*$B$538*I551^2))-1)+J551/4)</f>
        <v>5.0565694988483862</v>
      </c>
      <c r="P551"/>
      <c r="Q551"/>
      <c r="R551"/>
      <c r="S551"/>
    </row>
    <row r="552" spans="1:19" hidden="1">
      <c r="A552" s="41" t="s">
        <v>33</v>
      </c>
      <c r="B552" s="60">
        <v>1</v>
      </c>
      <c r="C552" s="60">
        <v>10</v>
      </c>
      <c r="D552" s="31">
        <v>175</v>
      </c>
      <c r="E552" s="59">
        <f t="shared" si="170"/>
        <v>6.0287520940422592</v>
      </c>
      <c r="F552" s="271">
        <f>MIN($B$539*$B$538*D552/1000,(2.3*SQRT($B$537*$B$538*$B$539))/1000+(E552/4),$B$539*$B$538*D552/1000*(SQRT(2+4*$B$537/($B$539*$B$538*D552^2))-1)+E552/4)</f>
        <v>4.9407840119298001</v>
      </c>
      <c r="G552" s="59" t="e">
        <f>B552*F552+#REF!*K552</f>
        <v>#REF!</v>
      </c>
      <c r="H552" s="109">
        <v>10</v>
      </c>
      <c r="I552" s="218">
        <v>190</v>
      </c>
      <c r="J552" s="110">
        <f t="shared" si="171"/>
        <v>6.4918940417166029</v>
      </c>
      <c r="K552" s="110">
        <f>MIN($B$539*$B$538*I552/1000,(2.3*SQRT($B$537*$B$538*$B$539))/1000+(J552/4),$B$539*$B$538*I552/1000*(SQRT(2+4*$B$537/($B$539*$B$538*I552^2))-1)+J552/4)</f>
        <v>5.0565694988483862</v>
      </c>
      <c r="P552"/>
      <c r="Q552"/>
      <c r="R552"/>
      <c r="S552"/>
    </row>
    <row r="553" spans="1:19" hidden="1">
      <c r="A553" s="13" t="s">
        <v>34</v>
      </c>
      <c r="B553" s="60">
        <v>1</v>
      </c>
      <c r="C553" s="60">
        <v>10</v>
      </c>
      <c r="D553" s="31">
        <v>175</v>
      </c>
      <c r="E553" s="59">
        <f t="shared" si="170"/>
        <v>6.0287520940422592</v>
      </c>
      <c r="F553" s="271">
        <f>MIN($B$539*$B$538*D553/1000,(2.3*SQRT($B$537*$B$538*$B$539))/1000+(E553/4),$B$539*$B$538*D553/1000*(SQRT(2+4*$B$537/($B$539*$B$538*D553^2))-1)+E553/4)</f>
        <v>4.9407840119298001</v>
      </c>
      <c r="G553" s="59" t="e">
        <f>B553*F553+#REF!*K553</f>
        <v>#REF!</v>
      </c>
      <c r="H553" s="109">
        <v>10</v>
      </c>
      <c r="I553" s="218">
        <v>190</v>
      </c>
      <c r="J553" s="110">
        <f t="shared" si="171"/>
        <v>6.4918940417166029</v>
      </c>
      <c r="K553" s="110">
        <f>MIN($B$539*$B$538*I553/1000,(2.3*SQRT($B$537*$B$538*$B$539))/1000+(J553/4),$B$539*$B$538*I553/1000*(SQRT(2+4*$B$537/($B$539*$B$538*I553^2))-1)+J553/4)</f>
        <v>5.0565694988483862</v>
      </c>
      <c r="P553"/>
      <c r="Q553"/>
      <c r="R553"/>
      <c r="S553"/>
    </row>
    <row r="554" spans="1:19" ht="30">
      <c r="A554" s="269" t="s">
        <v>351</v>
      </c>
      <c r="B554" s="60">
        <v>10</v>
      </c>
      <c r="C554" s="60">
        <v>8</v>
      </c>
      <c r="D554" s="31">
        <f>160-15</f>
        <v>145</v>
      </c>
      <c r="E554" s="59">
        <f t="shared" ref="E554:E559" si="172">($E$560*0.52*SQRT(C554)*D554^0.9*$B$536^0.8)/1000</f>
        <v>9.1054072130615449</v>
      </c>
      <c r="F554" s="271">
        <f>MIN($C$539*$C$538*D554/1000,(2.3*SQRT($C$537*$C$538*$C$539))/1000+(E554/4),$C$539*$C$538*D554/1000*(SQRT(2+4*$C$537/($C$539*$C$538*D554^2))-1)+E554/4)</f>
        <v>4.6769068214503031</v>
      </c>
      <c r="G554" s="59">
        <f t="shared" ref="G554:G559" si="173">B554^0.9*F554</f>
        <v>37.149991394525706</v>
      </c>
      <c r="H554" s="109"/>
      <c r="I554" s="218"/>
      <c r="J554" s="110"/>
      <c r="K554" s="110"/>
      <c r="P554"/>
      <c r="Q554"/>
      <c r="R554"/>
      <c r="S554"/>
    </row>
    <row r="555" spans="1:19" ht="30">
      <c r="A555" s="224" t="s">
        <v>352</v>
      </c>
      <c r="B555" s="60">
        <v>10</v>
      </c>
      <c r="C555" s="60">
        <v>8</v>
      </c>
      <c r="D555" s="31">
        <f>240-15</f>
        <v>225</v>
      </c>
      <c r="E555" s="59">
        <f t="shared" si="172"/>
        <v>13.521735531614226</v>
      </c>
      <c r="F555" s="271">
        <f>MIN($C$539*$C$538*D555/1000,(2.3*SQRT($C$537*$C$538*$C$539))/1000+(E555/4),$C$539*$C$538*D555/1000*(SQRT(2+4*$C$537/($C$539*$C$538*D555^2))-1)+E555/4)</f>
        <v>5.7809889010884739</v>
      </c>
      <c r="G555" s="59">
        <f t="shared" si="173"/>
        <v>45.920027087622728</v>
      </c>
      <c r="H555" s="109"/>
      <c r="I555" s="218"/>
      <c r="J555" s="110"/>
      <c r="K555" s="110"/>
      <c r="P555"/>
      <c r="Q555"/>
      <c r="R555"/>
      <c r="S555"/>
    </row>
    <row r="556" spans="1:19" ht="30">
      <c r="A556" s="224" t="s">
        <v>353</v>
      </c>
      <c r="B556" s="60">
        <v>16</v>
      </c>
      <c r="C556" s="60">
        <v>8</v>
      </c>
      <c r="D556" s="31">
        <f>160-15</f>
        <v>145</v>
      </c>
      <c r="E556" s="59">
        <f t="shared" si="172"/>
        <v>9.1054072130615449</v>
      </c>
      <c r="F556" s="271">
        <f>MIN($C$539*$C$538*D556/1000,(2.3*SQRT($C$537*$C$538*$C$539))/1000+(E556/4),$C$539*$C$538*D556/1000*(SQRT(2+4*$C$537/($C$539*$C$538*D556^2))-1)+E556/4)</f>
        <v>4.6769068214503031</v>
      </c>
      <c r="G556" s="59">
        <f t="shared" si="173"/>
        <v>56.710921194381697</v>
      </c>
      <c r="H556" s="109"/>
      <c r="I556" s="218"/>
      <c r="J556" s="110"/>
      <c r="K556" s="110"/>
      <c r="P556"/>
      <c r="Q556"/>
      <c r="R556"/>
      <c r="S556"/>
    </row>
    <row r="557" spans="1:19" ht="30">
      <c r="A557" s="224" t="s">
        <v>354</v>
      </c>
      <c r="B557" s="60">
        <v>16</v>
      </c>
      <c r="C557" s="60">
        <v>8</v>
      </c>
      <c r="D557" s="31">
        <f>240-15</f>
        <v>225</v>
      </c>
      <c r="E557" s="59">
        <f t="shared" si="172"/>
        <v>13.521735531614226</v>
      </c>
      <c r="F557" s="271">
        <f>MIN($C$539*$C$538*D557/1000,(2.3*SQRT($C$537*$C$538*$C$539))/1000+(E557/4),$C$539*$C$538*D557/1000*(SQRT(2+4*$C$537/($C$539*$C$538*D557^2))-1)+E557/4)</f>
        <v>5.7809889010884739</v>
      </c>
      <c r="G557" s="59">
        <f t="shared" si="173"/>
        <v>70.098725185540317</v>
      </c>
      <c r="H557" s="109"/>
      <c r="I557" s="218"/>
      <c r="J557" s="110"/>
      <c r="K557" s="110"/>
      <c r="P557"/>
      <c r="Q557"/>
      <c r="R557"/>
      <c r="S557"/>
    </row>
    <row r="558" spans="1:19" ht="30">
      <c r="A558" s="224" t="s">
        <v>356</v>
      </c>
      <c r="B558" s="60">
        <v>16</v>
      </c>
      <c r="C558" s="60">
        <v>10</v>
      </c>
      <c r="D558" s="31">
        <f>200-20</f>
        <v>180</v>
      </c>
      <c r="E558" s="59">
        <f t="shared" si="172"/>
        <v>12.367115938864831</v>
      </c>
      <c r="F558" s="271">
        <f>MIN($B$539*$B$538*D558/1000,(2.3*SQRT($B$537*$B$538*$B$539))/1000+(E558/4),$B$539*$B$538*D558/1000*(SQRT(2+4*$B$537/($B$539*$B$538*D558^2))-1)+E558/4)</f>
        <v>6.5253749731354436</v>
      </c>
      <c r="G558" s="59">
        <f t="shared" si="173"/>
        <v>79.124951595789881</v>
      </c>
      <c r="H558" s="109"/>
      <c r="I558" s="218"/>
      <c r="J558" s="110"/>
      <c r="K558" s="110"/>
      <c r="P558"/>
      <c r="Q558"/>
      <c r="R558"/>
      <c r="S558"/>
    </row>
    <row r="559" spans="1:19" ht="30">
      <c r="A559" s="224" t="s">
        <v>355</v>
      </c>
      <c r="B559" s="60">
        <v>25</v>
      </c>
      <c r="C559" s="60">
        <v>10</v>
      </c>
      <c r="D559" s="31">
        <f>200-20</f>
        <v>180</v>
      </c>
      <c r="E559" s="59">
        <f t="shared" si="172"/>
        <v>12.367115938864831</v>
      </c>
      <c r="F559" s="271">
        <f>MIN($B$539*$B$538*D559/1000,(2.3*SQRT($B$537*$B$538*$B$539))/1000+(E559/4),$B$539*$B$538*D559/1000*(SQRT(2+4*$B$537/($B$539*$B$538*D559^2))-1)+E559/4)</f>
        <v>6.5253749731354436</v>
      </c>
      <c r="G559" s="59">
        <f t="shared" si="173"/>
        <v>118.23647695999895</v>
      </c>
      <c r="H559" s="109"/>
      <c r="I559" s="218"/>
      <c r="J559" s="110"/>
      <c r="K559" s="110"/>
      <c r="P559"/>
      <c r="Q559"/>
      <c r="R559"/>
      <c r="S559"/>
    </row>
    <row r="560" spans="1:19">
      <c r="B560" s="49"/>
      <c r="C560" s="49"/>
      <c r="D560" s="19" t="s">
        <v>329</v>
      </c>
      <c r="E560" s="234">
        <v>0.6</v>
      </c>
      <c r="F560" s="49"/>
      <c r="G560" s="49"/>
      <c r="H560" s="49"/>
      <c r="I560" s="49"/>
      <c r="J560" s="49"/>
      <c r="K560" s="49"/>
      <c r="L560" s="49"/>
      <c r="P560"/>
      <c r="Q560"/>
      <c r="R560"/>
      <c r="S560"/>
    </row>
    <row r="561" spans="1:19">
      <c r="B561" s="49"/>
      <c r="C561" s="49"/>
      <c r="D561" s="49"/>
      <c r="E561" s="49"/>
      <c r="F561" s="49"/>
      <c r="G561" s="49"/>
      <c r="H561" s="49"/>
      <c r="I561" s="49"/>
      <c r="J561" s="49"/>
      <c r="K561" s="49"/>
      <c r="L561" s="49"/>
      <c r="P561"/>
      <c r="Q561"/>
      <c r="R561"/>
      <c r="S561"/>
    </row>
    <row r="562" spans="1:19" ht="18">
      <c r="A562" s="3" t="s">
        <v>2</v>
      </c>
      <c r="B562" s="102" t="s">
        <v>41</v>
      </c>
      <c r="C562" s="102" t="s">
        <v>9</v>
      </c>
      <c r="D562" s="102" t="s">
        <v>77</v>
      </c>
      <c r="E562" s="102" t="s">
        <v>78</v>
      </c>
      <c r="F562" s="272" t="s">
        <v>79</v>
      </c>
      <c r="G562" s="102" t="s">
        <v>80</v>
      </c>
      <c r="H562" s="108"/>
      <c r="I562" s="108"/>
      <c r="J562" s="108"/>
      <c r="K562" s="108"/>
      <c r="P562"/>
      <c r="Q562"/>
      <c r="R562"/>
      <c r="S562"/>
    </row>
    <row r="563" spans="1:19">
      <c r="A563" s="7"/>
      <c r="B563" s="44" t="s">
        <v>19</v>
      </c>
      <c r="C563" s="44" t="s">
        <v>18</v>
      </c>
      <c r="D563" s="44" t="s">
        <v>18</v>
      </c>
      <c r="E563" s="44" t="s">
        <v>17</v>
      </c>
      <c r="F563" s="273" t="s">
        <v>17</v>
      </c>
      <c r="G563" s="111" t="s">
        <v>17</v>
      </c>
      <c r="H563" s="108"/>
      <c r="I563" s="108"/>
      <c r="J563" s="108"/>
      <c r="K563" s="108"/>
      <c r="P563"/>
      <c r="Q563"/>
      <c r="R563"/>
      <c r="S563"/>
    </row>
    <row r="564" spans="1:19" hidden="1">
      <c r="A564" s="13" t="s">
        <v>27</v>
      </c>
      <c r="B564" s="60">
        <v>1</v>
      </c>
      <c r="C564" s="60">
        <v>8</v>
      </c>
      <c r="D564" s="31">
        <f>80-23</f>
        <v>57</v>
      </c>
      <c r="E564" s="59">
        <f t="shared" ref="E564:E577" si="174">(0.52*SQRT(C564)*D564^0.9*$B$536^0.8)/1000</f>
        <v>6.5494418543005892</v>
      </c>
      <c r="F564" s="271">
        <f>MIN($C$540*$C$538*D564/1000,(2.3*SQRT($C$537*$C$538*$C$540))/1000+(E564/4),$C$540*$C$538*D564/1000*(SQRT(2+4*$C$537/($C$540*$C$538*D564^2))-1)+E564/4)</f>
        <v>5.3182617456072272</v>
      </c>
      <c r="G564" s="59" t="e">
        <f>B564*F564+#REF!*K564</f>
        <v>#REF!</v>
      </c>
      <c r="H564" s="109"/>
      <c r="I564" s="218"/>
      <c r="J564" s="110"/>
      <c r="K564" s="110"/>
      <c r="P564"/>
      <c r="Q564"/>
      <c r="R564"/>
      <c r="S564"/>
    </row>
    <row r="565" spans="1:19" hidden="1">
      <c r="A565" s="41" t="s">
        <v>28</v>
      </c>
      <c r="B565" s="60">
        <v>1</v>
      </c>
      <c r="C565" s="60">
        <v>8</v>
      </c>
      <c r="D565" s="31">
        <f>80-23</f>
        <v>57</v>
      </c>
      <c r="E565" s="59">
        <f t="shared" si="174"/>
        <v>6.5494418543005892</v>
      </c>
      <c r="F565" s="271">
        <f>MIN($C$540*$C$538*D565/1000,(2.3*SQRT($C$537*$C$538*$C$540))/1000+(E565/4),$C$540*$C$538*D565/1000*(SQRT(2+4*$C$537/($C$540*$C$538*D565^2))-1)+E565/4)</f>
        <v>5.3182617456072272</v>
      </c>
      <c r="G565" s="59" t="e">
        <f>B565*F565+#REF!*K565</f>
        <v>#REF!</v>
      </c>
      <c r="H565" s="109"/>
      <c r="I565" s="218"/>
      <c r="J565" s="110"/>
      <c r="K565" s="110"/>
      <c r="P565"/>
      <c r="Q565"/>
      <c r="R565"/>
      <c r="S565"/>
    </row>
    <row r="566" spans="1:19" hidden="1">
      <c r="A566" s="13" t="s">
        <v>29</v>
      </c>
      <c r="B566" s="60">
        <v>1</v>
      </c>
      <c r="C566" s="60">
        <v>8</v>
      </c>
      <c r="D566" s="31">
        <f>80-23</f>
        <v>57</v>
      </c>
      <c r="E566" s="59">
        <f t="shared" si="174"/>
        <v>6.5494418543005892</v>
      </c>
      <c r="F566" s="271">
        <f>MIN($C$540*$C$538*D566/1000,(2.3*SQRT($C$537*$C$538*$C$540))/1000+(E566/4),$C$540*$C$538*D566/1000*(SQRT(2+4*$C$537/($C$540*$C$538*D566^2))-1)+E566/4)</f>
        <v>5.3182617456072272</v>
      </c>
      <c r="G566" s="59" t="e">
        <f>B566*F566+#REF!*K566</f>
        <v>#REF!</v>
      </c>
      <c r="H566" s="109"/>
      <c r="I566" s="218"/>
      <c r="J566" s="110"/>
      <c r="K566" s="110"/>
      <c r="P566"/>
      <c r="Q566"/>
      <c r="R566"/>
      <c r="S566"/>
    </row>
    <row r="567" spans="1:19" hidden="1">
      <c r="A567" s="41" t="s">
        <v>30</v>
      </c>
      <c r="B567" s="60">
        <v>1</v>
      </c>
      <c r="C567" s="60">
        <v>8</v>
      </c>
      <c r="D567" s="31">
        <f>80-23</f>
        <v>57</v>
      </c>
      <c r="E567" s="59">
        <f t="shared" si="174"/>
        <v>6.5494418543005892</v>
      </c>
      <c r="F567" s="271">
        <f>MIN($C$540*$C$538*D567/1000,(2.3*SQRT($C$537*$C$538*$C$540))/1000+(E567/4),$C$540*$C$538*D567/1000*(SQRT(2+4*$C$537/($C$540*$C$538*D567^2))-1)+E567/4)</f>
        <v>5.3182617456072272</v>
      </c>
      <c r="G567" s="59" t="e">
        <f>B567*F567+#REF!*K567</f>
        <v>#REF!</v>
      </c>
      <c r="H567" s="109"/>
      <c r="I567" s="218"/>
      <c r="J567" s="110"/>
      <c r="K567" s="110"/>
      <c r="P567"/>
      <c r="Q567"/>
      <c r="R567"/>
      <c r="S567"/>
    </row>
    <row r="568" spans="1:19" hidden="1">
      <c r="A568" s="13" t="s">
        <v>31</v>
      </c>
      <c r="B568" s="60">
        <v>1</v>
      </c>
      <c r="C568" s="60">
        <v>10</v>
      </c>
      <c r="D568" s="31">
        <f>100-25</f>
        <v>75</v>
      </c>
      <c r="E568" s="59">
        <f t="shared" si="174"/>
        <v>9.3740456535592109</v>
      </c>
      <c r="F568" s="271">
        <f>MIN($B$540*$B$538*D568/1000,(2.3*SQRT($B$537*$B$538*$B$540))/1000+(E568/4),$B$540*$B$538*D568/1000*(SQRT(2+4*$B$537/($B$540*$B$538*D568^2))-1)+E568/4)</f>
        <v>7.7560268644377199</v>
      </c>
      <c r="G568" s="59" t="e">
        <f>B568*F568+#REF!*K568</f>
        <v>#REF!</v>
      </c>
      <c r="H568" s="109"/>
      <c r="I568" s="218"/>
      <c r="J568" s="110"/>
      <c r="K568" s="110"/>
      <c r="P568"/>
      <c r="Q568"/>
      <c r="R568"/>
      <c r="S568"/>
    </row>
    <row r="569" spans="1:19" hidden="1">
      <c r="A569" s="41" t="s">
        <v>32</v>
      </c>
      <c r="B569" s="60">
        <v>1</v>
      </c>
      <c r="C569" s="60">
        <v>10</v>
      </c>
      <c r="D569" s="31">
        <f>100-25</f>
        <v>75</v>
      </c>
      <c r="E569" s="59">
        <f t="shared" si="174"/>
        <v>9.3740456535592109</v>
      </c>
      <c r="F569" s="271">
        <f>MIN($B$540*$B$538*D569/1000,(2.3*SQRT($B$537*$B$538*$B$540))/1000+(E569/4),$B$540*$B$538*D569/1000*(SQRT(2+4*$B$537/($B$540*$B$538*D569^2))-1)+E569/4)</f>
        <v>7.7560268644377199</v>
      </c>
      <c r="G569" s="59" t="e">
        <f>B569*F569+#REF!*K569</f>
        <v>#REF!</v>
      </c>
      <c r="H569" s="109"/>
      <c r="I569" s="218"/>
      <c r="J569" s="110"/>
      <c r="K569" s="110"/>
      <c r="P569"/>
      <c r="Q569"/>
      <c r="R569"/>
      <c r="S569"/>
    </row>
    <row r="570" spans="1:19" hidden="1">
      <c r="A570" s="41" t="s">
        <v>33</v>
      </c>
      <c r="B570" s="60">
        <v>1</v>
      </c>
      <c r="C570" s="60">
        <v>10</v>
      </c>
      <c r="D570" s="31">
        <f>100-25</f>
        <v>75</v>
      </c>
      <c r="E570" s="59">
        <f t="shared" si="174"/>
        <v>9.3740456535592109</v>
      </c>
      <c r="F570" s="271">
        <f>MIN($B$540*$B$538*D570/1000,(2.3*SQRT($B$537*$B$538*$B$540))/1000+(E570/4),$B$540*$B$538*D570/1000*(SQRT(2+4*$B$537/($B$540*$B$538*D570^2))-1)+E570/4)</f>
        <v>7.7560268644377199</v>
      </c>
      <c r="G570" s="59" t="e">
        <f>B570*F570+#REF!*K570</f>
        <v>#REF!</v>
      </c>
      <c r="H570" s="109"/>
      <c r="I570" s="218"/>
      <c r="J570" s="110"/>
      <c r="K570" s="110"/>
      <c r="P570"/>
      <c r="Q570"/>
      <c r="R570"/>
      <c r="S570"/>
    </row>
    <row r="571" spans="1:19" hidden="1">
      <c r="A571" s="13" t="s">
        <v>34</v>
      </c>
      <c r="B571" s="60">
        <v>1</v>
      </c>
      <c r="C571" s="60">
        <v>10</v>
      </c>
      <c r="D571" s="31">
        <f>100-25</f>
        <v>75</v>
      </c>
      <c r="E571" s="59">
        <f t="shared" si="174"/>
        <v>9.3740456535592109</v>
      </c>
      <c r="F571" s="271">
        <f>MIN($B$540*$B$538*D571/1000,(2.3*SQRT($B$537*$B$538*$B$540))/1000+(E571/4),$B$540*$B$538*D571/1000*(SQRT(2+4*$B$537/($B$540*$B$538*D571^2))-1)+E571/4)</f>
        <v>7.7560268644377199</v>
      </c>
      <c r="G571" s="59" t="e">
        <f>B571*F571+#REF!*K571</f>
        <v>#REF!</v>
      </c>
      <c r="H571" s="109"/>
      <c r="I571" s="218"/>
      <c r="J571" s="110"/>
      <c r="K571" s="110"/>
      <c r="P571"/>
      <c r="Q571"/>
      <c r="R571"/>
      <c r="S571"/>
    </row>
    <row r="572" spans="1:19" ht="30">
      <c r="A572" s="269" t="s">
        <v>351</v>
      </c>
      <c r="B572" s="60">
        <v>10</v>
      </c>
      <c r="C572" s="60">
        <v>8</v>
      </c>
      <c r="D572" s="31">
        <f>80-10</f>
        <v>70</v>
      </c>
      <c r="E572" s="59">
        <f t="shared" si="174"/>
        <v>7.8796178754106014</v>
      </c>
      <c r="F572" s="271">
        <f>MIN($C$540*$C$538*D572/1000,(2.3*SQRT($C$537*$C$538*$C$540))/1000+(E572/4),$C$540*$C$538*D572/1000*(SQRT(2+4*$C$537/($C$540*$C$538*D572^2))-1)+E572/4)</f>
        <v>5.7539958910348616</v>
      </c>
      <c r="G572" s="59">
        <f t="shared" ref="G572:G577" si="175">B572^0.9*F572</f>
        <v>45.70561398736492</v>
      </c>
      <c r="H572" s="109"/>
      <c r="I572" s="218"/>
      <c r="J572" s="110"/>
      <c r="K572" s="110"/>
      <c r="P572"/>
      <c r="Q572"/>
      <c r="R572"/>
      <c r="S572"/>
    </row>
    <row r="573" spans="1:19" ht="30">
      <c r="A573" s="224" t="s">
        <v>352</v>
      </c>
      <c r="B573" s="60">
        <v>10</v>
      </c>
      <c r="C573" s="60">
        <v>8</v>
      </c>
      <c r="D573" s="31">
        <f t="shared" ref="D573:D575" si="176">80-10</f>
        <v>70</v>
      </c>
      <c r="E573" s="59">
        <f t="shared" si="174"/>
        <v>7.8796178754106014</v>
      </c>
      <c r="F573" s="271">
        <f>MIN($C$540*$C$538*D573/1000,(2.3*SQRT($C$537*$C$538*$C$540))/1000+(E573/4),$C$540*$C$538*D573/1000*(SQRT(2+4*$C$537/($C$540*$C$538*D573^2))-1)+E573/4)</f>
        <v>5.7539958910348616</v>
      </c>
      <c r="G573" s="59">
        <f t="shared" si="175"/>
        <v>45.70561398736492</v>
      </c>
      <c r="H573" s="109"/>
      <c r="I573" s="218"/>
      <c r="J573" s="110"/>
      <c r="K573" s="110"/>
      <c r="P573"/>
      <c r="Q573"/>
      <c r="R573"/>
      <c r="S573"/>
    </row>
    <row r="574" spans="1:19" ht="30">
      <c r="A574" s="224" t="s">
        <v>353</v>
      </c>
      <c r="B574" s="60">
        <v>16</v>
      </c>
      <c r="C574" s="60">
        <v>8</v>
      </c>
      <c r="D574" s="31">
        <f t="shared" si="176"/>
        <v>70</v>
      </c>
      <c r="E574" s="59">
        <f t="shared" si="174"/>
        <v>7.8796178754106014</v>
      </c>
      <c r="F574" s="271">
        <f>MIN($C$540*$C$538*D574/1000,(2.3*SQRT($C$537*$C$538*$C$540))/1000+(E574/4),$C$540*$C$538*D574/1000*(SQRT(2+4*$C$537/($C$540*$C$538*D574^2))-1)+E574/4)</f>
        <v>5.7539958910348616</v>
      </c>
      <c r="G574" s="59">
        <f t="shared" si="175"/>
        <v>69.771415165394387</v>
      </c>
      <c r="H574" s="109"/>
      <c r="I574" s="218"/>
      <c r="J574" s="110"/>
      <c r="K574" s="110"/>
      <c r="P574"/>
      <c r="Q574"/>
      <c r="R574"/>
      <c r="S574"/>
    </row>
    <row r="575" spans="1:19" ht="30">
      <c r="A575" s="224" t="s">
        <v>354</v>
      </c>
      <c r="B575" s="60">
        <v>16</v>
      </c>
      <c r="C575" s="60">
        <v>8</v>
      </c>
      <c r="D575" s="31">
        <f t="shared" si="176"/>
        <v>70</v>
      </c>
      <c r="E575" s="59">
        <f t="shared" si="174"/>
        <v>7.8796178754106014</v>
      </c>
      <c r="F575" s="271">
        <f>MIN($C$540*$C$538*D575/1000,(2.3*SQRT($C$537*$C$538*$C$540))/1000+(E575/4),$C$540*$C$538*D575/1000*(SQRT(2+4*$C$537/($C$540*$C$538*D575^2))-1)+E575/4)</f>
        <v>5.7539958910348616</v>
      </c>
      <c r="G575" s="59">
        <f t="shared" si="175"/>
        <v>69.771415165394387</v>
      </c>
      <c r="H575" s="109"/>
      <c r="I575" s="218"/>
      <c r="J575" s="110"/>
      <c r="K575" s="110"/>
      <c r="P575"/>
      <c r="Q575"/>
      <c r="R575"/>
      <c r="S575"/>
    </row>
    <row r="576" spans="1:19" ht="30">
      <c r="A576" s="224" t="s">
        <v>356</v>
      </c>
      <c r="B576" s="60">
        <v>16</v>
      </c>
      <c r="C576" s="60">
        <v>10</v>
      </c>
      <c r="D576" s="31">
        <f>100-15</f>
        <v>85</v>
      </c>
      <c r="E576" s="59">
        <f t="shared" si="174"/>
        <v>10.491774806064372</v>
      </c>
      <c r="F576" s="271">
        <f>MIN($B$540*$B$538*D576/1000,(2.3*SQRT($B$537*$B$538*$B$540))/1000+(E576/4),$B$540*$B$538*D576/1000*(SQRT(2+4*$B$537/($B$540*$B$538*D576^2))-1)+E576/4)</f>
        <v>8.0354591525640107</v>
      </c>
      <c r="G576" s="59">
        <f t="shared" si="175"/>
        <v>97.435828456471</v>
      </c>
      <c r="H576" s="109"/>
      <c r="I576" s="218"/>
      <c r="J576" s="110"/>
      <c r="K576" s="110"/>
      <c r="P576"/>
      <c r="Q576"/>
      <c r="R576"/>
      <c r="S576"/>
    </row>
    <row r="577" spans="1:20" ht="30">
      <c r="A577" s="224" t="s">
        <v>355</v>
      </c>
      <c r="B577" s="60">
        <v>25</v>
      </c>
      <c r="C577" s="60">
        <v>10</v>
      </c>
      <c r="D577" s="31">
        <f>100-15</f>
        <v>85</v>
      </c>
      <c r="E577" s="59">
        <f t="shared" si="174"/>
        <v>10.491774806064372</v>
      </c>
      <c r="F577" s="271">
        <f>MIN($B$540*$B$538*D577/1000,(2.3*SQRT($B$537*$B$538*$B$540))/1000+(E577/4),$B$540*$B$538*D577/1000*(SQRT(2+4*$B$537/($B$540*$B$538*D577^2))-1)+E577/4)</f>
        <v>8.0354591525640107</v>
      </c>
      <c r="G577" s="59">
        <f t="shared" si="175"/>
        <v>145.59843455228011</v>
      </c>
      <c r="H577" s="109"/>
      <c r="I577" s="218"/>
      <c r="J577" s="110"/>
      <c r="K577" s="110"/>
      <c r="P577"/>
      <c r="Q577"/>
      <c r="R577"/>
      <c r="S577"/>
    </row>
    <row r="580" spans="1:20">
      <c r="B580" s="71"/>
      <c r="F580" t="s">
        <v>69</v>
      </c>
    </row>
    <row r="581" spans="1:20" ht="18">
      <c r="A581" s="3" t="s">
        <v>2</v>
      </c>
      <c r="B581" s="72" t="s">
        <v>58</v>
      </c>
      <c r="C581" s="72" t="s">
        <v>124</v>
      </c>
      <c r="D581" s="4" t="s">
        <v>125</v>
      </c>
      <c r="E581" s="72" t="s">
        <v>126</v>
      </c>
      <c r="F581" s="73" t="s">
        <v>127</v>
      </c>
      <c r="G581" s="74"/>
      <c r="O581" s="3" t="s">
        <v>2</v>
      </c>
      <c r="P581" s="664" t="s">
        <v>128</v>
      </c>
      <c r="Q581" s="665"/>
      <c r="R581" s="665"/>
      <c r="S581" s="665"/>
      <c r="T581" s="666"/>
    </row>
    <row r="582" spans="1:20">
      <c r="A582" s="7"/>
      <c r="B582" s="75" t="s">
        <v>17</v>
      </c>
      <c r="C582" s="76" t="s">
        <v>17</v>
      </c>
      <c r="D582" s="8" t="s">
        <v>75</v>
      </c>
      <c r="E582" s="76" t="s">
        <v>17</v>
      </c>
      <c r="F582" s="77" t="s">
        <v>17</v>
      </c>
      <c r="G582" s="74"/>
      <c r="O582" s="7"/>
      <c r="P582" s="87">
        <v>0.6</v>
      </c>
      <c r="Q582" s="87">
        <v>0.7</v>
      </c>
      <c r="R582" s="87">
        <v>0.8</v>
      </c>
      <c r="S582" s="87">
        <v>0.9</v>
      </c>
      <c r="T582" s="87">
        <v>1</v>
      </c>
    </row>
    <row r="583" spans="1:20" hidden="1">
      <c r="A583" s="13" t="s">
        <v>27</v>
      </c>
      <c r="B583" s="59" t="e">
        <f t="shared" ref="B583:B596" si="177">G546</f>
        <v>#REF!</v>
      </c>
      <c r="C583" s="59">
        <v>18</v>
      </c>
      <c r="D583" s="96">
        <v>10.7</v>
      </c>
      <c r="E583" s="59" t="e">
        <f t="shared" ref="E583:E596" si="178">1/SQRT((1/G564)^2+(1/(D583*E564))^2)</f>
        <v>#REF!</v>
      </c>
      <c r="F583" s="97" t="e">
        <f>MIN(B583,C583,E583)</f>
        <v>#REF!</v>
      </c>
      <c r="G583" s="80"/>
      <c r="O583" s="13" t="s">
        <v>27</v>
      </c>
      <c r="P583" s="81" t="e">
        <f>MIN(P$582*$B583/1.3,$C583/1.25,P$582*$E583/1.3)</f>
        <v>#REF!</v>
      </c>
      <c r="Q583" s="81" t="e">
        <f>MIN(Q$582*$B583/1.3,$C583/1.25,Q$582*$E583/1.3)</f>
        <v>#REF!</v>
      </c>
      <c r="R583" s="81" t="e">
        <f>MIN(R$582*$B583/1.3,$C583/1.25,R$582*$E583/1.3)</f>
        <v>#REF!</v>
      </c>
      <c r="S583" s="81" t="e">
        <f>MIN(S$582*$B583/1.3,$C583/1.25,S$582*$E583/1.3)</f>
        <v>#REF!</v>
      </c>
      <c r="T583" s="81" t="e">
        <f>MIN(T$582*$B583/1.3,$C583/1.25,T$582*$E583/1.3)</f>
        <v>#REF!</v>
      </c>
    </row>
    <row r="584" spans="1:20" hidden="1">
      <c r="A584" s="41" t="s">
        <v>28</v>
      </c>
      <c r="B584" s="59" t="e">
        <f t="shared" si="177"/>
        <v>#REF!</v>
      </c>
      <c r="C584" s="59">
        <v>18</v>
      </c>
      <c r="D584" s="96">
        <v>18.3</v>
      </c>
      <c r="E584" s="59" t="e">
        <f t="shared" si="178"/>
        <v>#REF!</v>
      </c>
      <c r="F584" s="97" t="e">
        <f t="shared" ref="F584:F596" si="179">MIN(B584,C584,E584)</f>
        <v>#REF!</v>
      </c>
      <c r="G584" s="80"/>
      <c r="O584" s="41" t="s">
        <v>28</v>
      </c>
      <c r="P584" s="81" t="e">
        <f t="shared" ref="P584:T596" si="180">MIN(P$582*$B584/1.3,$C584/1.25,P$582*$E584/1.3)</f>
        <v>#REF!</v>
      </c>
      <c r="Q584" s="81" t="e">
        <f t="shared" si="180"/>
        <v>#REF!</v>
      </c>
      <c r="R584" s="81" t="e">
        <f t="shared" si="180"/>
        <v>#REF!</v>
      </c>
      <c r="S584" s="81" t="e">
        <f t="shared" si="180"/>
        <v>#REF!</v>
      </c>
      <c r="T584" s="81" t="e">
        <f t="shared" si="180"/>
        <v>#REF!</v>
      </c>
    </row>
    <row r="585" spans="1:20" hidden="1">
      <c r="A585" s="13" t="s">
        <v>29</v>
      </c>
      <c r="B585" s="59" t="e">
        <f t="shared" si="177"/>
        <v>#REF!</v>
      </c>
      <c r="C585" s="59">
        <v>18</v>
      </c>
      <c r="D585" s="96">
        <v>27.8</v>
      </c>
      <c r="E585" s="59" t="e">
        <f t="shared" si="178"/>
        <v>#REF!</v>
      </c>
      <c r="F585" s="97" t="e">
        <f t="shared" si="179"/>
        <v>#REF!</v>
      </c>
      <c r="G585" s="80"/>
      <c r="O585" s="13" t="s">
        <v>29</v>
      </c>
      <c r="P585" s="81" t="e">
        <f t="shared" si="180"/>
        <v>#REF!</v>
      </c>
      <c r="Q585" s="81" t="e">
        <f t="shared" si="180"/>
        <v>#REF!</v>
      </c>
      <c r="R585" s="81" t="e">
        <f t="shared" si="180"/>
        <v>#REF!</v>
      </c>
      <c r="S585" s="81" t="e">
        <f t="shared" si="180"/>
        <v>#REF!</v>
      </c>
      <c r="T585" s="81" t="e">
        <f t="shared" si="180"/>
        <v>#REF!</v>
      </c>
    </row>
    <row r="586" spans="1:20" hidden="1">
      <c r="A586" s="41" t="s">
        <v>30</v>
      </c>
      <c r="B586" s="59" t="e">
        <f t="shared" si="177"/>
        <v>#REF!</v>
      </c>
      <c r="C586" s="59">
        <v>18</v>
      </c>
      <c r="D586" s="96">
        <v>39.299999999999997</v>
      </c>
      <c r="E586" s="59" t="e">
        <f t="shared" si="178"/>
        <v>#REF!</v>
      </c>
      <c r="F586" s="97" t="e">
        <f t="shared" si="179"/>
        <v>#REF!</v>
      </c>
      <c r="G586" s="80"/>
      <c r="O586" s="41" t="s">
        <v>30</v>
      </c>
      <c r="P586" s="81" t="e">
        <f t="shared" si="180"/>
        <v>#REF!</v>
      </c>
      <c r="Q586" s="81" t="e">
        <f t="shared" si="180"/>
        <v>#REF!</v>
      </c>
      <c r="R586" s="81" t="e">
        <f t="shared" si="180"/>
        <v>#REF!</v>
      </c>
      <c r="S586" s="81" t="e">
        <f t="shared" si="180"/>
        <v>#REF!</v>
      </c>
      <c r="T586" s="81" t="e">
        <f t="shared" si="180"/>
        <v>#REF!</v>
      </c>
    </row>
    <row r="587" spans="1:20" hidden="1">
      <c r="A587" s="13" t="s">
        <v>31</v>
      </c>
      <c r="B587" s="59" t="e">
        <f t="shared" si="177"/>
        <v>#REF!</v>
      </c>
      <c r="C587" s="59">
        <v>18</v>
      </c>
      <c r="D587" s="96">
        <v>27.8</v>
      </c>
      <c r="E587" s="59" t="e">
        <f t="shared" si="178"/>
        <v>#REF!</v>
      </c>
      <c r="F587" s="97" t="e">
        <f t="shared" si="179"/>
        <v>#REF!</v>
      </c>
      <c r="G587" s="80"/>
      <c r="O587" s="13" t="s">
        <v>31</v>
      </c>
      <c r="P587" s="81" t="e">
        <f t="shared" si="180"/>
        <v>#REF!</v>
      </c>
      <c r="Q587" s="81" t="e">
        <f t="shared" si="180"/>
        <v>#REF!</v>
      </c>
      <c r="R587" s="81" t="e">
        <f t="shared" si="180"/>
        <v>#REF!</v>
      </c>
      <c r="S587" s="81" t="e">
        <f t="shared" si="180"/>
        <v>#REF!</v>
      </c>
      <c r="T587" s="81" t="e">
        <f t="shared" si="180"/>
        <v>#REF!</v>
      </c>
    </row>
    <row r="588" spans="1:20" hidden="1">
      <c r="A588" s="41" t="s">
        <v>32</v>
      </c>
      <c r="B588" s="59" t="e">
        <f t="shared" si="177"/>
        <v>#REF!</v>
      </c>
      <c r="C588" s="59">
        <v>18</v>
      </c>
      <c r="D588" s="96">
        <v>39.299999999999997</v>
      </c>
      <c r="E588" s="59" t="e">
        <f t="shared" si="178"/>
        <v>#REF!</v>
      </c>
      <c r="F588" s="97" t="e">
        <f t="shared" si="179"/>
        <v>#REF!</v>
      </c>
      <c r="G588" s="80"/>
      <c r="O588" s="41" t="s">
        <v>32</v>
      </c>
      <c r="P588" s="81" t="e">
        <f t="shared" si="180"/>
        <v>#REF!</v>
      </c>
      <c r="Q588" s="81" t="e">
        <f t="shared" si="180"/>
        <v>#REF!</v>
      </c>
      <c r="R588" s="81" t="e">
        <f t="shared" si="180"/>
        <v>#REF!</v>
      </c>
      <c r="S588" s="81" t="e">
        <f t="shared" si="180"/>
        <v>#REF!</v>
      </c>
      <c r="T588" s="81" t="e">
        <f t="shared" si="180"/>
        <v>#REF!</v>
      </c>
    </row>
    <row r="589" spans="1:20" hidden="1">
      <c r="A589" s="41" t="s">
        <v>33</v>
      </c>
      <c r="B589" s="59" t="e">
        <f t="shared" si="177"/>
        <v>#REF!</v>
      </c>
      <c r="C589" s="59">
        <v>18</v>
      </c>
      <c r="D589" s="96">
        <v>52.9</v>
      </c>
      <c r="E589" s="59" t="e">
        <f t="shared" si="178"/>
        <v>#REF!</v>
      </c>
      <c r="F589" s="97" t="e">
        <f t="shared" si="179"/>
        <v>#REF!</v>
      </c>
      <c r="G589" s="80"/>
      <c r="O589" s="41" t="s">
        <v>33</v>
      </c>
      <c r="P589" s="81" t="e">
        <f t="shared" si="180"/>
        <v>#REF!</v>
      </c>
      <c r="Q589" s="81" t="e">
        <f t="shared" si="180"/>
        <v>#REF!</v>
      </c>
      <c r="R589" s="81" t="e">
        <f t="shared" si="180"/>
        <v>#REF!</v>
      </c>
      <c r="S589" s="81" t="e">
        <f t="shared" si="180"/>
        <v>#REF!</v>
      </c>
      <c r="T589" s="81" t="e">
        <f t="shared" si="180"/>
        <v>#REF!</v>
      </c>
    </row>
    <row r="590" spans="1:20" hidden="1">
      <c r="A590" s="13" t="s">
        <v>34</v>
      </c>
      <c r="B590" s="59" t="e">
        <f t="shared" si="177"/>
        <v>#REF!</v>
      </c>
      <c r="C590" s="59">
        <v>18</v>
      </c>
      <c r="D590" s="96">
        <v>68.400000000000006</v>
      </c>
      <c r="E590" s="59" t="e">
        <f t="shared" si="178"/>
        <v>#REF!</v>
      </c>
      <c r="F590" s="97" t="e">
        <f t="shared" si="179"/>
        <v>#REF!</v>
      </c>
      <c r="G590" s="80"/>
      <c r="O590" s="13" t="s">
        <v>34</v>
      </c>
      <c r="P590" s="81" t="e">
        <f t="shared" si="180"/>
        <v>#REF!</v>
      </c>
      <c r="Q590" s="81" t="e">
        <f t="shared" si="180"/>
        <v>#REF!</v>
      </c>
      <c r="R590" s="81" t="e">
        <f t="shared" si="180"/>
        <v>#REF!</v>
      </c>
      <c r="S590" s="81" t="e">
        <f t="shared" si="180"/>
        <v>#REF!</v>
      </c>
      <c r="T590" s="81" t="e">
        <f t="shared" si="180"/>
        <v>#REF!</v>
      </c>
    </row>
    <row r="591" spans="1:20" ht="30">
      <c r="A591" s="269" t="s">
        <v>351</v>
      </c>
      <c r="B591" s="59">
        <f t="shared" si="177"/>
        <v>37.149991394525706</v>
      </c>
      <c r="C591" s="59">
        <v>18</v>
      </c>
      <c r="D591" s="96">
        <v>10.7</v>
      </c>
      <c r="E591" s="59">
        <f t="shared" si="178"/>
        <v>40.18125965399701</v>
      </c>
      <c r="F591" s="97">
        <f t="shared" si="179"/>
        <v>18</v>
      </c>
      <c r="G591" s="80"/>
      <c r="O591" s="269" t="s">
        <v>351</v>
      </c>
      <c r="P591" s="81">
        <f t="shared" si="180"/>
        <v>14.4</v>
      </c>
      <c r="Q591" s="81">
        <f t="shared" si="180"/>
        <v>14.4</v>
      </c>
      <c r="R591" s="81">
        <f t="shared" si="180"/>
        <v>14.4</v>
      </c>
      <c r="S591" s="81">
        <f t="shared" si="180"/>
        <v>14.4</v>
      </c>
      <c r="T591" s="81">
        <f t="shared" si="180"/>
        <v>14.4</v>
      </c>
    </row>
    <row r="592" spans="1:20" ht="30">
      <c r="A592" s="224" t="s">
        <v>352</v>
      </c>
      <c r="B592" s="59">
        <f t="shared" si="177"/>
        <v>45.920027087622728</v>
      </c>
      <c r="C592" s="59">
        <v>18</v>
      </c>
      <c r="D592" s="96">
        <v>10.7</v>
      </c>
      <c r="E592" s="59">
        <f t="shared" si="178"/>
        <v>40.18125965399701</v>
      </c>
      <c r="F592" s="97">
        <f t="shared" si="179"/>
        <v>18</v>
      </c>
      <c r="G592" s="80"/>
      <c r="O592" s="224" t="s">
        <v>352</v>
      </c>
      <c r="P592" s="81">
        <f t="shared" si="180"/>
        <v>14.4</v>
      </c>
      <c r="Q592" s="81">
        <f t="shared" si="180"/>
        <v>14.4</v>
      </c>
      <c r="R592" s="81">
        <f t="shared" si="180"/>
        <v>14.4</v>
      </c>
      <c r="S592" s="81">
        <f t="shared" si="180"/>
        <v>14.4</v>
      </c>
      <c r="T592" s="81">
        <f t="shared" si="180"/>
        <v>14.4</v>
      </c>
    </row>
    <row r="593" spans="1:33" ht="30">
      <c r="A593" s="224" t="s">
        <v>353</v>
      </c>
      <c r="B593" s="59">
        <f t="shared" si="177"/>
        <v>56.710921194381697</v>
      </c>
      <c r="C593" s="59">
        <v>18</v>
      </c>
      <c r="D593" s="96">
        <v>27.8</v>
      </c>
      <c r="E593" s="59">
        <f t="shared" si="178"/>
        <v>66.480609906200655</v>
      </c>
      <c r="F593" s="97">
        <f t="shared" si="179"/>
        <v>18</v>
      </c>
      <c r="G593" s="80"/>
      <c r="O593" s="224" t="s">
        <v>353</v>
      </c>
      <c r="P593" s="81">
        <f t="shared" si="180"/>
        <v>14.4</v>
      </c>
      <c r="Q593" s="81">
        <f t="shared" si="180"/>
        <v>14.4</v>
      </c>
      <c r="R593" s="81">
        <f t="shared" si="180"/>
        <v>14.4</v>
      </c>
      <c r="S593" s="81">
        <f t="shared" si="180"/>
        <v>14.4</v>
      </c>
      <c r="T593" s="81">
        <f t="shared" si="180"/>
        <v>14.4</v>
      </c>
    </row>
    <row r="594" spans="1:33" ht="30">
      <c r="A594" s="224" t="s">
        <v>354</v>
      </c>
      <c r="B594" s="59">
        <f t="shared" si="177"/>
        <v>70.098725185540317</v>
      </c>
      <c r="C594" s="59">
        <v>18</v>
      </c>
      <c r="D594" s="96">
        <v>27.8</v>
      </c>
      <c r="E594" s="59">
        <f t="shared" si="178"/>
        <v>66.480609906200655</v>
      </c>
      <c r="F594" s="97">
        <f t="shared" si="179"/>
        <v>18</v>
      </c>
      <c r="G594" s="80"/>
      <c r="O594" s="224" t="s">
        <v>354</v>
      </c>
      <c r="P594" s="81">
        <f t="shared" si="180"/>
        <v>14.4</v>
      </c>
      <c r="Q594" s="81">
        <f t="shared" si="180"/>
        <v>14.4</v>
      </c>
      <c r="R594" s="81">
        <f t="shared" si="180"/>
        <v>14.4</v>
      </c>
      <c r="S594" s="81">
        <f t="shared" si="180"/>
        <v>14.4</v>
      </c>
      <c r="T594" s="81">
        <f t="shared" si="180"/>
        <v>14.4</v>
      </c>
    </row>
    <row r="595" spans="1:33" ht="30">
      <c r="A595" s="224" t="s">
        <v>356</v>
      </c>
      <c r="B595" s="59">
        <f t="shared" si="177"/>
        <v>79.124951595789881</v>
      </c>
      <c r="C595" s="59">
        <v>18</v>
      </c>
      <c r="D595" s="96">
        <v>27.8</v>
      </c>
      <c r="E595" s="59">
        <f t="shared" si="178"/>
        <v>92.415567140008505</v>
      </c>
      <c r="F595" s="97">
        <f t="shared" si="179"/>
        <v>18</v>
      </c>
      <c r="G595" s="80"/>
      <c r="O595" s="224" t="s">
        <v>356</v>
      </c>
      <c r="P595" s="81">
        <f t="shared" si="180"/>
        <v>14.4</v>
      </c>
      <c r="Q595" s="81">
        <f t="shared" si="180"/>
        <v>14.4</v>
      </c>
      <c r="R595" s="81">
        <f t="shared" si="180"/>
        <v>14.4</v>
      </c>
      <c r="S595" s="81">
        <f t="shared" si="180"/>
        <v>14.4</v>
      </c>
      <c r="T595" s="81">
        <f t="shared" si="180"/>
        <v>14.4</v>
      </c>
    </row>
    <row r="596" spans="1:33" ht="30">
      <c r="A596" s="224" t="s">
        <v>355</v>
      </c>
      <c r="B596" s="59">
        <f t="shared" si="177"/>
        <v>118.23647695999895</v>
      </c>
      <c r="C596" s="59">
        <v>18</v>
      </c>
      <c r="D596" s="96">
        <v>68.400000000000006</v>
      </c>
      <c r="E596" s="59">
        <f t="shared" si="178"/>
        <v>142.69127424794846</v>
      </c>
      <c r="F596" s="97">
        <f t="shared" si="179"/>
        <v>18</v>
      </c>
      <c r="G596" s="80"/>
      <c r="O596" s="224" t="s">
        <v>355</v>
      </c>
      <c r="P596" s="81">
        <f t="shared" si="180"/>
        <v>14.4</v>
      </c>
      <c r="Q596" s="81">
        <f t="shared" si="180"/>
        <v>14.4</v>
      </c>
      <c r="R596" s="81">
        <f t="shared" si="180"/>
        <v>14.4</v>
      </c>
      <c r="S596" s="81">
        <f t="shared" si="180"/>
        <v>14.4</v>
      </c>
      <c r="T596" s="81">
        <f t="shared" si="180"/>
        <v>14.4</v>
      </c>
    </row>
    <row r="597" spans="1:33">
      <c r="P597" s="105"/>
      <c r="Q597" s="105"/>
      <c r="R597" s="105"/>
      <c r="S597" s="105"/>
    </row>
    <row r="598" spans="1:33" ht="15.75" thickBot="1">
      <c r="P598" s="105"/>
      <c r="Q598" s="105"/>
      <c r="R598" s="105"/>
      <c r="S598" s="105"/>
    </row>
    <row r="599" spans="1:33">
      <c r="W599" s="668" t="s">
        <v>90</v>
      </c>
      <c r="X599" s="669"/>
      <c r="Y599" s="669"/>
      <c r="Z599" s="669"/>
      <c r="AA599" s="669"/>
      <c r="AB599" s="22"/>
      <c r="AC599" s="117" t="s">
        <v>91</v>
      </c>
      <c r="AD599" s="117"/>
      <c r="AE599" s="117"/>
      <c r="AF599" s="117"/>
      <c r="AG599" s="118"/>
    </row>
    <row r="600" spans="1:33" ht="18.75">
      <c r="A600" s="50" t="s">
        <v>1263</v>
      </c>
      <c r="W600" s="23"/>
      <c r="X600" s="24">
        <v>0.6</v>
      </c>
      <c r="Y600" s="24">
        <v>0.7</v>
      </c>
      <c r="Z600" s="24">
        <v>0.8</v>
      </c>
      <c r="AA600" s="24">
        <v>0.9</v>
      </c>
      <c r="AB600" s="25"/>
      <c r="AC600" s="25"/>
      <c r="AD600" s="24">
        <v>0.6</v>
      </c>
      <c r="AE600" s="24">
        <v>0.7</v>
      </c>
      <c r="AF600" s="24">
        <v>0.8</v>
      </c>
      <c r="AG600" s="26">
        <v>0.9</v>
      </c>
    </row>
    <row r="601" spans="1:33">
      <c r="W601" s="23">
        <v>350</v>
      </c>
      <c r="X601" s="27">
        <v>2.7416359384615387</v>
      </c>
      <c r="Y601" s="27">
        <v>3.1985752615384619</v>
      </c>
      <c r="Z601" s="27">
        <v>3.6555145846153856</v>
      </c>
      <c r="AA601" s="27">
        <v>4</v>
      </c>
      <c r="AB601" s="25"/>
      <c r="AC601" s="25">
        <v>350</v>
      </c>
      <c r="AD601" s="27">
        <v>3.2757208615384621</v>
      </c>
      <c r="AE601" s="27">
        <v>3.8216743384615386</v>
      </c>
      <c r="AF601" s="27">
        <v>4</v>
      </c>
      <c r="AG601" s="28">
        <v>4</v>
      </c>
    </row>
    <row r="602" spans="1:33" ht="18">
      <c r="A602" s="101" t="s">
        <v>2</v>
      </c>
      <c r="B602" s="102" t="s">
        <v>41</v>
      </c>
      <c r="C602" s="102" t="s">
        <v>138</v>
      </c>
      <c r="D602" s="102" t="s">
        <v>139</v>
      </c>
      <c r="E602" s="102" t="s">
        <v>140</v>
      </c>
      <c r="F602" s="102" t="s">
        <v>141</v>
      </c>
      <c r="G602" s="49"/>
      <c r="H602" s="49"/>
      <c r="I602" s="2" t="s">
        <v>87</v>
      </c>
      <c r="L602" s="2"/>
      <c r="W602" s="23">
        <v>380</v>
      </c>
      <c r="X602" s="27">
        <v>2.9766333046153846</v>
      </c>
      <c r="Y602" s="27">
        <v>3.4727388553846152</v>
      </c>
      <c r="Z602" s="27">
        <v>3.9688444061538473</v>
      </c>
      <c r="AA602" s="27">
        <v>4</v>
      </c>
      <c r="AB602" s="25"/>
      <c r="AC602" s="25">
        <v>380</v>
      </c>
      <c r="AD602" s="27">
        <v>3.5564969353846152</v>
      </c>
      <c r="AE602" s="27">
        <v>4</v>
      </c>
      <c r="AF602" s="27">
        <v>4</v>
      </c>
      <c r="AG602" s="28">
        <v>4</v>
      </c>
    </row>
    <row r="603" spans="1:33">
      <c r="A603" s="42"/>
      <c r="B603" s="44" t="s">
        <v>19</v>
      </c>
      <c r="C603" s="44" t="s">
        <v>18</v>
      </c>
      <c r="D603" s="44" t="s">
        <v>18</v>
      </c>
      <c r="E603" s="44" t="s">
        <v>88</v>
      </c>
      <c r="F603" s="44" t="s">
        <v>17</v>
      </c>
      <c r="G603" s="49"/>
      <c r="H603" s="49"/>
      <c r="I603" s="2" t="s">
        <v>89</v>
      </c>
      <c r="L603" s="2"/>
      <c r="W603" s="23">
        <v>410</v>
      </c>
      <c r="X603" s="27">
        <v>3.2116306707692313</v>
      </c>
      <c r="Y603" s="27">
        <v>3.7469024492307694</v>
      </c>
      <c r="Z603" s="27">
        <v>4</v>
      </c>
      <c r="AA603" s="27">
        <v>4</v>
      </c>
      <c r="AB603" s="25"/>
      <c r="AC603" s="25">
        <v>410</v>
      </c>
      <c r="AD603" s="27">
        <v>3.8372730092307696</v>
      </c>
      <c r="AE603" s="27">
        <v>4</v>
      </c>
      <c r="AF603" s="27">
        <v>4</v>
      </c>
      <c r="AG603" s="28">
        <v>4</v>
      </c>
    </row>
    <row r="604" spans="1:33">
      <c r="A604" s="30" t="s">
        <v>142</v>
      </c>
      <c r="B604" s="32">
        <v>1</v>
      </c>
      <c r="C604" s="60">
        <v>12</v>
      </c>
      <c r="D604" s="60">
        <f>I77</f>
        <v>49</v>
      </c>
      <c r="E604" s="59">
        <f>0.082*(1-0.01*C604)*$B$613/(1.35+0.015*C604)</f>
        <v>16.507189542483658</v>
      </c>
      <c r="F604" s="59">
        <f>MIN(0.4*B604*C604*D604*E604/1000,B604*(1.15*SQRT(2*I604*E604*C604)/1000+((0.52*SQRT(C604)*D604^0.9*$B$613^0.8)/1000)/4))</f>
        <v>3.8824909803921575</v>
      </c>
      <c r="G604" s="49"/>
      <c r="H604" s="49"/>
      <c r="I604" s="98">
        <f>0.15*600*C604^2.6</f>
        <v>57559.067465202104</v>
      </c>
      <c r="L604" s="2"/>
      <c r="W604" s="23">
        <v>430</v>
      </c>
      <c r="X604" s="27">
        <v>3.3682955815384616</v>
      </c>
      <c r="Y604" s="27">
        <v>3.9296781784615389</v>
      </c>
      <c r="Z604" s="27">
        <v>4</v>
      </c>
      <c r="AA604" s="27">
        <v>4</v>
      </c>
      <c r="AB604" s="25"/>
      <c r="AC604" s="25">
        <v>430</v>
      </c>
      <c r="AD604" s="27">
        <v>4</v>
      </c>
      <c r="AE604" s="27">
        <v>4</v>
      </c>
      <c r="AF604" s="27">
        <v>4</v>
      </c>
      <c r="AG604" s="28">
        <v>4</v>
      </c>
    </row>
    <row r="605" spans="1:33">
      <c r="A605" s="30" t="s">
        <v>143</v>
      </c>
      <c r="B605" s="32">
        <v>1</v>
      </c>
      <c r="C605" s="60">
        <v>16</v>
      </c>
      <c r="D605" s="60">
        <f>I82</f>
        <v>46</v>
      </c>
      <c r="E605" s="59">
        <f>0.082*(1-0.01*C605)*$B$613/(1.35+0.015*C605)</f>
        <v>15.162264150943395</v>
      </c>
      <c r="F605" s="59">
        <f>MIN(0.4*B605*C605*D605*E605/1000,B605*(1.15*SQRT(2*I605*E605*C605)/1000+((0.52*SQRT(C605)*D605^0.9*$B$613^0.8)/1000)/4))</f>
        <v>4.463770566037736</v>
      </c>
      <c r="G605" s="49"/>
      <c r="H605" s="49"/>
      <c r="I605" s="98">
        <f>0.15*600*C605^2.6</f>
        <v>121605.84905682993</v>
      </c>
      <c r="L605" s="2"/>
      <c r="W605" s="23">
        <v>450</v>
      </c>
      <c r="X605" s="27">
        <v>3.5249604923076929</v>
      </c>
      <c r="Y605" s="27">
        <v>4</v>
      </c>
      <c r="Z605" s="27">
        <v>4</v>
      </c>
      <c r="AA605" s="27">
        <v>4</v>
      </c>
      <c r="AB605" s="25"/>
      <c r="AC605" s="25">
        <v>450</v>
      </c>
      <c r="AD605" s="27">
        <v>4</v>
      </c>
      <c r="AE605" s="27">
        <v>4</v>
      </c>
      <c r="AF605" s="27">
        <v>4</v>
      </c>
      <c r="AG605" s="28">
        <v>4</v>
      </c>
    </row>
    <row r="606" spans="1:33">
      <c r="A606" s="100"/>
      <c r="B606" s="49"/>
      <c r="C606" s="49"/>
      <c r="D606" s="49"/>
      <c r="E606" s="49"/>
      <c r="F606" s="49"/>
      <c r="G606" s="49"/>
      <c r="H606" s="49"/>
      <c r="W606" s="23">
        <v>400</v>
      </c>
      <c r="X606" s="27">
        <v>3.1332982153846158</v>
      </c>
      <c r="Y606" s="27">
        <v>3.6555145846153847</v>
      </c>
      <c r="Z606" s="27">
        <v>4</v>
      </c>
      <c r="AA606" s="27">
        <v>4</v>
      </c>
      <c r="AB606" s="25"/>
      <c r="AC606" s="25">
        <v>400</v>
      </c>
      <c r="AD606" s="27">
        <v>3.7436809846153851</v>
      </c>
      <c r="AE606" s="27">
        <v>4</v>
      </c>
      <c r="AF606" s="27">
        <v>4</v>
      </c>
      <c r="AG606" s="28">
        <v>4</v>
      </c>
    </row>
    <row r="607" spans="1:33" ht="18">
      <c r="A607" s="101" t="s">
        <v>2</v>
      </c>
      <c r="B607" s="102" t="s">
        <v>41</v>
      </c>
      <c r="C607" s="102" t="s">
        <v>9</v>
      </c>
      <c r="D607" s="102" t="s">
        <v>107</v>
      </c>
      <c r="E607" s="102" t="s">
        <v>108</v>
      </c>
      <c r="F607" s="102" t="s">
        <v>77</v>
      </c>
      <c r="G607" s="102" t="s">
        <v>109</v>
      </c>
      <c r="H607" s="102" t="s">
        <v>110</v>
      </c>
      <c r="W607" s="672" t="s">
        <v>103</v>
      </c>
      <c r="X607" s="673"/>
      <c r="Y607" s="673"/>
      <c r="Z607" s="673"/>
      <c r="AA607" s="673"/>
      <c r="AB607" s="25"/>
      <c r="AC607" s="673" t="s">
        <v>104</v>
      </c>
      <c r="AD607" s="673"/>
      <c r="AE607" s="673"/>
      <c r="AF607" s="673"/>
      <c r="AG607" s="674"/>
    </row>
    <row r="608" spans="1:33">
      <c r="A608" s="42"/>
      <c r="B608" s="44" t="s">
        <v>19</v>
      </c>
      <c r="C608" s="44" t="s">
        <v>18</v>
      </c>
      <c r="D608" s="44" t="s">
        <v>89</v>
      </c>
      <c r="E608" s="44" t="s">
        <v>88</v>
      </c>
      <c r="F608" s="44" t="s">
        <v>18</v>
      </c>
      <c r="G608" s="44" t="s">
        <v>17</v>
      </c>
      <c r="H608" s="44" t="s">
        <v>17</v>
      </c>
      <c r="W608" s="23">
        <v>350</v>
      </c>
      <c r="X608" s="27">
        <v>2.466435080370649</v>
      </c>
      <c r="Y608" s="27">
        <v>2.877507593765757</v>
      </c>
      <c r="Z608" s="27">
        <v>3.288580107160866</v>
      </c>
      <c r="AA608" s="27">
        <v>3.6996526205559737</v>
      </c>
      <c r="AB608" s="25"/>
      <c r="AC608" s="25">
        <v>350</v>
      </c>
      <c r="AD608" s="27">
        <v>3.2757208615384621</v>
      </c>
      <c r="AE608" s="27">
        <v>3.8216743384615386</v>
      </c>
      <c r="AF608" s="27">
        <v>4</v>
      </c>
      <c r="AG608" s="28">
        <v>4</v>
      </c>
    </row>
    <row r="609" spans="1:33">
      <c r="A609" s="30" t="s">
        <v>142</v>
      </c>
      <c r="B609" s="32">
        <v>3</v>
      </c>
      <c r="C609" s="60">
        <v>6</v>
      </c>
      <c r="D609" s="60">
        <v>6300</v>
      </c>
      <c r="E609" s="59">
        <f>(0.033+0.049)*$B$613*C609^-0.3</f>
        <v>16.766272546647741</v>
      </c>
      <c r="F609" s="60">
        <v>44</v>
      </c>
      <c r="G609" s="59">
        <f>(0.52*SQRT(C609)*44^0.9*$B$613^0.8)/1000</f>
        <v>4.1633297814663335</v>
      </c>
      <c r="H609" s="59">
        <f>B609*MIN(2.3*SQRT(C609*D609*E609)/1000+G609/4,E609*C609*F609/1000,E609*C609*F609/1000*(SQRT(2+4*D609/(E609*C609*F609^2))-1)+G609/4)</f>
        <v>8.6155435327701344</v>
      </c>
      <c r="W609" s="23">
        <v>380</v>
      </c>
      <c r="X609" s="27">
        <v>2.6625242828383633</v>
      </c>
      <c r="Y609" s="27">
        <v>3.1062783299780903</v>
      </c>
      <c r="Z609" s="27">
        <v>3.5500323771178182</v>
      </c>
      <c r="AA609" s="27">
        <v>3.9937864242575456</v>
      </c>
      <c r="AB609" s="25"/>
      <c r="AC609" s="25">
        <v>380</v>
      </c>
      <c r="AD609" s="27">
        <v>3.5564969353846152</v>
      </c>
      <c r="AE609" s="27">
        <v>4</v>
      </c>
      <c r="AF609" s="27">
        <v>4</v>
      </c>
      <c r="AG609" s="28">
        <v>4</v>
      </c>
    </row>
    <row r="610" spans="1:33">
      <c r="A610" s="30" t="s">
        <v>143</v>
      </c>
      <c r="B610" s="32">
        <v>3</v>
      </c>
      <c r="C610" s="60">
        <v>10</v>
      </c>
      <c r="D610" s="60">
        <v>23900</v>
      </c>
      <c r="E610" s="59">
        <f>(0.033+0.049)*$B$613*C610^-0.3</f>
        <v>14.384073605102715</v>
      </c>
      <c r="F610" s="60">
        <v>54</v>
      </c>
      <c r="G610" s="59">
        <f>(0.52*SQRT(C610)*50^0.9*$B$613^0.8)/1000</f>
        <v>6.0301870404833755</v>
      </c>
      <c r="H610" s="59">
        <f>B610*MIN(2.3*SQRT(C610*D610*E610)/1000+G610/4,E610*C610*F610/1000,E610*C610*F610/1000*(SQRT(2+4*D610/(E610*C610*F610^2))-1)+G610/4)</f>
        <v>16.001837621666112</v>
      </c>
      <c r="W610" s="23">
        <v>410</v>
      </c>
      <c r="X610" s="27">
        <v>2.8311444965563237</v>
      </c>
      <c r="Y610" s="27">
        <v>3.303001912649044</v>
      </c>
      <c r="Z610" s="27">
        <v>3.7748593287417651</v>
      </c>
      <c r="AA610" s="27">
        <v>4</v>
      </c>
      <c r="AB610" s="25"/>
      <c r="AC610" s="25">
        <v>410</v>
      </c>
      <c r="AD610" s="27">
        <v>3.8372730092307696</v>
      </c>
      <c r="AE610" s="27">
        <v>4</v>
      </c>
      <c r="AF610" s="27">
        <v>4</v>
      </c>
      <c r="AG610" s="28">
        <v>4</v>
      </c>
    </row>
    <row r="611" spans="1:33">
      <c r="A611" s="49"/>
      <c r="B611" s="108"/>
      <c r="C611" s="109"/>
      <c r="D611" s="109"/>
      <c r="E611" s="110"/>
      <c r="F611" s="109"/>
      <c r="G611" s="110"/>
      <c r="H611" s="110"/>
      <c r="W611" s="23"/>
      <c r="X611" s="27"/>
      <c r="Y611" s="27"/>
      <c r="Z611" s="27"/>
      <c r="AA611" s="27"/>
      <c r="AB611" s="25"/>
      <c r="AC611" s="25"/>
      <c r="AD611" s="27"/>
      <c r="AE611" s="27"/>
      <c r="AF611" s="27"/>
      <c r="AG611" s="28"/>
    </row>
    <row r="612" spans="1:33">
      <c r="A612" s="19" t="s">
        <v>35</v>
      </c>
      <c r="B612" s="20" t="s">
        <v>22</v>
      </c>
      <c r="D612" s="109"/>
      <c r="E612" s="110"/>
      <c r="F612" s="110"/>
      <c r="G612" s="49"/>
      <c r="H612" s="49"/>
      <c r="W612" s="23">
        <v>430</v>
      </c>
      <c r="X612" s="27">
        <v>2.9428539145083121</v>
      </c>
      <c r="Y612" s="27">
        <v>3.4333295669263642</v>
      </c>
      <c r="Z612" s="27">
        <v>3.9238052193444162</v>
      </c>
      <c r="AA612" s="27">
        <v>4</v>
      </c>
      <c r="AB612" s="25"/>
      <c r="AC612" s="25">
        <v>430</v>
      </c>
      <c r="AD612" s="27">
        <v>4</v>
      </c>
      <c r="AE612" s="27">
        <v>4</v>
      </c>
      <c r="AF612" s="27">
        <v>4</v>
      </c>
      <c r="AG612" s="28">
        <v>4</v>
      </c>
    </row>
    <row r="613" spans="1:33" ht="18">
      <c r="A613" s="21" t="s">
        <v>37</v>
      </c>
      <c r="B613">
        <f>VLOOKUP(B612,$V$7:$W$16,2,FALSE)</f>
        <v>350</v>
      </c>
      <c r="C613" t="s">
        <v>38</v>
      </c>
      <c r="D613" s="49"/>
      <c r="E613" s="49"/>
      <c r="F613" s="49"/>
      <c r="G613" s="49"/>
      <c r="H613" s="49"/>
      <c r="W613" s="23">
        <v>450</v>
      </c>
      <c r="X613" s="27">
        <v>3.0540399285736144</v>
      </c>
      <c r="Y613" s="27">
        <v>3.5630465833358831</v>
      </c>
      <c r="Z613" s="27">
        <v>4</v>
      </c>
      <c r="AA613" s="27">
        <v>4</v>
      </c>
      <c r="AB613" s="25"/>
      <c r="AC613" s="25">
        <v>450</v>
      </c>
      <c r="AD613" s="27">
        <v>4</v>
      </c>
      <c r="AE613" s="27">
        <v>4</v>
      </c>
      <c r="AF613" s="27">
        <v>4</v>
      </c>
      <c r="AG613" s="28">
        <v>4</v>
      </c>
    </row>
    <row r="614" spans="1:33">
      <c r="A614" s="19"/>
      <c r="B614" s="49"/>
      <c r="C614" s="49"/>
      <c r="D614" s="49"/>
      <c r="E614" s="49"/>
      <c r="F614" s="49"/>
      <c r="G614" s="49"/>
      <c r="H614" s="49"/>
      <c r="W614" s="23">
        <v>400</v>
      </c>
      <c r="X614" s="27">
        <v>2.7750831585268934</v>
      </c>
      <c r="Y614" s="27">
        <v>3.237597018281376</v>
      </c>
      <c r="Z614" s="27">
        <v>3.7001108780358587</v>
      </c>
      <c r="AA614" s="27">
        <v>4</v>
      </c>
      <c r="AB614" s="25"/>
      <c r="AC614" s="25">
        <v>400</v>
      </c>
      <c r="AD614" s="27">
        <v>3.7436809846153851</v>
      </c>
      <c r="AE614" s="27">
        <v>4</v>
      </c>
      <c r="AF614" s="27">
        <v>4</v>
      </c>
      <c r="AG614" s="28">
        <v>4</v>
      </c>
    </row>
    <row r="615" spans="1:33">
      <c r="A615" s="19"/>
      <c r="B615" s="70"/>
      <c r="C615" s="49"/>
      <c r="D615" s="49"/>
      <c r="E615" s="49"/>
      <c r="F615" s="49" t="s">
        <v>69</v>
      </c>
      <c r="G615" s="49" t="s">
        <v>144</v>
      </c>
      <c r="H615" s="49"/>
      <c r="W615" s="672" t="s">
        <v>113</v>
      </c>
      <c r="X615" s="673"/>
      <c r="Y615" s="673"/>
      <c r="Z615" s="673"/>
      <c r="AA615" s="673"/>
      <c r="AB615" s="25"/>
      <c r="AC615" s="673" t="s">
        <v>114</v>
      </c>
      <c r="AD615" s="673"/>
      <c r="AE615" s="673"/>
      <c r="AF615" s="673"/>
      <c r="AG615" s="674"/>
    </row>
    <row r="616" spans="1:33" ht="18">
      <c r="A616" s="101" t="s">
        <v>2</v>
      </c>
      <c r="B616" s="112" t="s">
        <v>145</v>
      </c>
      <c r="C616" s="112" t="s">
        <v>131</v>
      </c>
      <c r="D616" s="102" t="s">
        <v>146</v>
      </c>
      <c r="E616" s="112" t="s">
        <v>147</v>
      </c>
      <c r="F616" s="113" t="s">
        <v>148</v>
      </c>
      <c r="G616" s="113" t="s">
        <v>135</v>
      </c>
      <c r="H616" s="49"/>
      <c r="O616" s="101" t="s">
        <v>2</v>
      </c>
      <c r="P616" s="664" t="s">
        <v>128</v>
      </c>
      <c r="Q616" s="665"/>
      <c r="R616" s="665"/>
      <c r="S616" s="665"/>
      <c r="T616" s="666"/>
      <c r="W616" s="23">
        <v>350</v>
      </c>
      <c r="X616" s="27">
        <v>1.7919189140271494</v>
      </c>
      <c r="Y616" s="27">
        <v>2.0905720663650076</v>
      </c>
      <c r="Z616" s="27">
        <v>2.3892252187028662</v>
      </c>
      <c r="AA616" s="27">
        <v>2.6878783710407244</v>
      </c>
      <c r="AB616" s="25"/>
      <c r="AC616" s="25">
        <v>350</v>
      </c>
      <c r="AD616" s="27">
        <v>2.0602017997097244</v>
      </c>
      <c r="AE616" s="27">
        <v>2.4035687663280116</v>
      </c>
      <c r="AF616" s="27">
        <v>2.7469357329462993</v>
      </c>
      <c r="AG616" s="28">
        <v>3.0903026995645866</v>
      </c>
    </row>
    <row r="617" spans="1:33">
      <c r="A617" s="42"/>
      <c r="B617" s="114" t="s">
        <v>17</v>
      </c>
      <c r="C617" s="115" t="s">
        <v>17</v>
      </c>
      <c r="D617" s="44" t="s">
        <v>75</v>
      </c>
      <c r="E617" s="115" t="s">
        <v>17</v>
      </c>
      <c r="F617" s="116" t="s">
        <v>17</v>
      </c>
      <c r="G617" s="116" t="s">
        <v>17</v>
      </c>
      <c r="H617" s="49"/>
      <c r="O617" s="42"/>
      <c r="P617" s="87">
        <v>0.6</v>
      </c>
      <c r="Q617" s="87">
        <v>0.7</v>
      </c>
      <c r="R617" s="87">
        <v>0.8</v>
      </c>
      <c r="S617" s="87">
        <v>0.9</v>
      </c>
      <c r="T617" s="87">
        <v>1</v>
      </c>
      <c r="W617" s="23">
        <v>380</v>
      </c>
      <c r="X617" s="27">
        <v>1.9455119638009055</v>
      </c>
      <c r="Y617" s="27">
        <v>2.2697639577677231</v>
      </c>
      <c r="Z617" s="27">
        <v>2.5940159517345407</v>
      </c>
      <c r="AA617" s="27">
        <v>2.9182679457013583</v>
      </c>
      <c r="AB617" s="25"/>
      <c r="AC617" s="25">
        <v>380</v>
      </c>
      <c r="AD617" s="27">
        <v>2.2367905253991291</v>
      </c>
      <c r="AE617" s="27">
        <v>2.6095889462989836</v>
      </c>
      <c r="AF617" s="27">
        <v>2.982387367198839</v>
      </c>
      <c r="AG617" s="28">
        <v>3.3551857880986939</v>
      </c>
    </row>
    <row r="618" spans="1:33">
      <c r="A618" s="30" t="s">
        <v>142</v>
      </c>
      <c r="B618" s="59">
        <f>F604</f>
        <v>3.8824909803921575</v>
      </c>
      <c r="C618" s="59">
        <v>5</v>
      </c>
      <c r="D618" s="119">
        <v>0</v>
      </c>
      <c r="E618" s="59">
        <f>H609</f>
        <v>8.6155435327701344</v>
      </c>
      <c r="F618" s="120">
        <f>MIN(B618,C618,E618)</f>
        <v>3.8824909803921575</v>
      </c>
      <c r="G618" s="97">
        <v>4</v>
      </c>
      <c r="H618" s="49"/>
      <c r="O618" s="30" t="s">
        <v>142</v>
      </c>
      <c r="P618" s="81">
        <f t="shared" ref="P618:T619" si="181">MIN(P$617*$B618/1.3,$C618/1.25,P$617*$E618/1.3)</f>
        <v>1.7919189140271494</v>
      </c>
      <c r="Q618" s="81">
        <f t="shared" si="181"/>
        <v>2.0905720663650076</v>
      </c>
      <c r="R618" s="81">
        <f t="shared" si="181"/>
        <v>2.3892252187028662</v>
      </c>
      <c r="S618" s="81">
        <f t="shared" si="181"/>
        <v>2.6878783710407244</v>
      </c>
      <c r="T618" s="81">
        <f t="shared" si="181"/>
        <v>2.9865315233785825</v>
      </c>
      <c r="W618" s="23">
        <v>410</v>
      </c>
      <c r="X618" s="27">
        <v>2.0991050135746607</v>
      </c>
      <c r="Y618" s="27">
        <v>2.4489558491704377</v>
      </c>
      <c r="Z618" s="27">
        <v>2.7988066847662147</v>
      </c>
      <c r="AA618" s="27">
        <v>3.1486575203619913</v>
      </c>
      <c r="AB618" s="25"/>
      <c r="AC618" s="25">
        <v>410</v>
      </c>
      <c r="AD618" s="27">
        <v>2.4133792510885339</v>
      </c>
      <c r="AE618" s="27">
        <v>2.8156091262699561</v>
      </c>
      <c r="AF618" s="27">
        <v>3.2178390014513791</v>
      </c>
      <c r="AG618" s="28">
        <v>3.6200688766328009</v>
      </c>
    </row>
    <row r="619" spans="1:33">
      <c r="A619" s="30" t="s">
        <v>143</v>
      </c>
      <c r="B619" s="59">
        <f>F605</f>
        <v>4.463770566037736</v>
      </c>
      <c r="C619" s="59">
        <v>5</v>
      </c>
      <c r="D619" s="119">
        <v>0</v>
      </c>
      <c r="E619" s="59">
        <f>H610</f>
        <v>16.001837621666112</v>
      </c>
      <c r="F619" s="120">
        <f>MIN(B619,C619,E619)</f>
        <v>4.463770566037736</v>
      </c>
      <c r="G619" s="97">
        <v>4</v>
      </c>
      <c r="H619" s="108"/>
      <c r="I619" s="2"/>
      <c r="J619" s="2"/>
      <c r="O619" s="30" t="s">
        <v>143</v>
      </c>
      <c r="P619" s="81">
        <f t="shared" si="181"/>
        <v>2.0602017997097244</v>
      </c>
      <c r="Q619" s="81">
        <f t="shared" si="181"/>
        <v>2.4035687663280116</v>
      </c>
      <c r="R619" s="81">
        <f t="shared" si="181"/>
        <v>2.7469357329462993</v>
      </c>
      <c r="S619" s="81">
        <f t="shared" si="181"/>
        <v>3.0903026995645866</v>
      </c>
      <c r="T619" s="81">
        <f t="shared" si="181"/>
        <v>3.4336696661828738</v>
      </c>
      <c r="W619" s="23">
        <v>430</v>
      </c>
      <c r="X619" s="27">
        <v>2.2015003800904984</v>
      </c>
      <c r="Y619" s="27">
        <v>2.5684171101055813</v>
      </c>
      <c r="Z619" s="27">
        <v>2.9353338401206646</v>
      </c>
      <c r="AA619" s="27">
        <v>3.3022505701357474</v>
      </c>
      <c r="AB619" s="25"/>
      <c r="AC619" s="25">
        <v>430</v>
      </c>
      <c r="AD619" s="27">
        <v>2.5311050682148037</v>
      </c>
      <c r="AE619" s="27">
        <v>2.9529559129172713</v>
      </c>
      <c r="AF619" s="27">
        <v>3.3748067576197389</v>
      </c>
      <c r="AG619" s="28">
        <v>3.7966576023222061</v>
      </c>
    </row>
    <row r="620" spans="1:33">
      <c r="B620" s="92"/>
      <c r="C620" s="92"/>
      <c r="D620" s="121"/>
      <c r="E620" s="92"/>
      <c r="F620" s="104"/>
      <c r="G620" s="104"/>
      <c r="H620" s="2"/>
      <c r="I620" s="2"/>
      <c r="J620" s="2"/>
      <c r="W620" s="23">
        <v>450</v>
      </c>
      <c r="X620" s="27">
        <v>2.3038957466063352</v>
      </c>
      <c r="Y620" s="27">
        <v>2.6878783710407244</v>
      </c>
      <c r="Z620" s="27">
        <v>3.0718609954751135</v>
      </c>
      <c r="AA620" s="27">
        <v>3.4558436199095031</v>
      </c>
      <c r="AB620" s="25"/>
      <c r="AC620" s="25">
        <v>450</v>
      </c>
      <c r="AD620" s="27">
        <v>2.648830885341074</v>
      </c>
      <c r="AE620" s="27">
        <v>3.0903026995645861</v>
      </c>
      <c r="AF620" s="27">
        <v>3.5317745137880991</v>
      </c>
      <c r="AG620" s="28">
        <v>3.9732463280116108</v>
      </c>
    </row>
    <row r="621" spans="1:33">
      <c r="B621" s="2"/>
      <c r="C621" s="107"/>
      <c r="D621" s="92"/>
      <c r="E621" s="92"/>
      <c r="F621" s="2"/>
      <c r="G621" s="107"/>
      <c r="H621" s="92"/>
      <c r="I621" s="92"/>
      <c r="J621" s="92"/>
      <c r="W621" s="23">
        <v>400</v>
      </c>
      <c r="X621" s="27">
        <v>2.0479073303167423</v>
      </c>
      <c r="Y621" s="27">
        <v>2.3892252187028657</v>
      </c>
      <c r="Z621" s="27">
        <v>2.7305431070889901</v>
      </c>
      <c r="AA621" s="27">
        <v>3.0718609954751135</v>
      </c>
      <c r="AB621" s="25"/>
      <c r="AC621" s="25">
        <v>400</v>
      </c>
      <c r="AD621" s="27">
        <v>2.354516342525399</v>
      </c>
      <c r="AE621" s="27">
        <v>2.7469357329462989</v>
      </c>
      <c r="AF621" s="27">
        <v>3.1393551233671988</v>
      </c>
      <c r="AG621" s="28">
        <v>3.5317745137880991</v>
      </c>
    </row>
    <row r="622" spans="1:33">
      <c r="B622" s="2"/>
      <c r="C622" s="107"/>
      <c r="D622" s="92"/>
      <c r="E622" s="92"/>
      <c r="F622" s="2"/>
      <c r="G622" s="107"/>
      <c r="H622" s="92"/>
      <c r="I622" s="92"/>
      <c r="J622" s="92"/>
      <c r="W622" s="672" t="s">
        <v>120</v>
      </c>
      <c r="X622" s="673"/>
      <c r="Y622" s="673"/>
      <c r="Z622" s="673"/>
      <c r="AA622" s="673"/>
      <c r="AB622" s="25"/>
      <c r="AC622" s="673" t="s">
        <v>121</v>
      </c>
      <c r="AD622" s="673"/>
      <c r="AE622" s="673"/>
      <c r="AF622" s="673"/>
      <c r="AG622" s="674"/>
    </row>
    <row r="623" spans="1:33">
      <c r="B623" s="2"/>
      <c r="C623" s="107"/>
      <c r="D623" s="92"/>
      <c r="E623" s="92"/>
      <c r="F623" s="2"/>
      <c r="G623" s="107"/>
      <c r="H623" s="92"/>
      <c r="I623" s="92"/>
      <c r="J623" s="92"/>
      <c r="W623" s="23">
        <v>350</v>
      </c>
      <c r="X623" s="27">
        <v>1.7919189140271494</v>
      </c>
      <c r="Y623" s="27">
        <v>2.0905720663650076</v>
      </c>
      <c r="Z623" s="27">
        <v>2.3892252187028662</v>
      </c>
      <c r="AA623" s="27">
        <v>2.6878783710407244</v>
      </c>
      <c r="AB623" s="25"/>
      <c r="AC623" s="25">
        <v>350</v>
      </c>
      <c r="AD623" s="27">
        <v>2.0602017997097244</v>
      </c>
      <c r="AE623" s="27">
        <v>2.4035687663280116</v>
      </c>
      <c r="AF623" s="27">
        <v>2.7469357329462993</v>
      </c>
      <c r="AG623" s="28">
        <v>3.0903026995645866</v>
      </c>
    </row>
    <row r="624" spans="1:33">
      <c r="A624" s="21"/>
      <c r="B624" s="71"/>
      <c r="W624" s="23">
        <v>380</v>
      </c>
      <c r="X624" s="27">
        <v>1.9455119638009055</v>
      </c>
      <c r="Y624" s="27">
        <v>2.2697639577677231</v>
      </c>
      <c r="Z624" s="27">
        <v>2.5940159517345407</v>
      </c>
      <c r="AA624" s="27">
        <v>2.9182679457013583</v>
      </c>
      <c r="AB624" s="25"/>
      <c r="AC624" s="25">
        <v>380</v>
      </c>
      <c r="AD624" s="27">
        <v>2.2367905253991291</v>
      </c>
      <c r="AE624" s="27">
        <v>2.6095889462989836</v>
      </c>
      <c r="AF624" s="27">
        <v>2.982387367198839</v>
      </c>
      <c r="AG624" s="28">
        <v>3.3551857880986939</v>
      </c>
    </row>
    <row r="625" spans="1:33">
      <c r="W625" s="23">
        <v>410</v>
      </c>
      <c r="X625" s="27">
        <v>2.0991050135746607</v>
      </c>
      <c r="Y625" s="27">
        <v>2.4489558491704377</v>
      </c>
      <c r="Z625" s="27">
        <v>2.7988066847662147</v>
      </c>
      <c r="AA625" s="27">
        <v>3.1486575203619913</v>
      </c>
      <c r="AB625" s="25"/>
      <c r="AC625" s="25">
        <v>410</v>
      </c>
      <c r="AD625" s="27">
        <v>2.4133792510885339</v>
      </c>
      <c r="AE625" s="27">
        <v>2.8156091262699561</v>
      </c>
      <c r="AF625" s="27">
        <v>3.2178390014513791</v>
      </c>
      <c r="AG625" s="28">
        <v>3.6200688766328009</v>
      </c>
    </row>
    <row r="626" spans="1:33" ht="26.25">
      <c r="A626" s="1" t="s">
        <v>149</v>
      </c>
      <c r="W626" s="23">
        <v>430</v>
      </c>
      <c r="X626" s="27">
        <v>2.2015003800904984</v>
      </c>
      <c r="Y626" s="27">
        <v>2.5684171101055813</v>
      </c>
      <c r="Z626" s="27">
        <v>2.9353338401206646</v>
      </c>
      <c r="AA626" s="27">
        <v>3.3022505701357474</v>
      </c>
      <c r="AB626" s="25"/>
      <c r="AC626" s="25">
        <v>430</v>
      </c>
      <c r="AD626" s="27">
        <v>2.5311050682148037</v>
      </c>
      <c r="AE626" s="27">
        <v>2.9529559129172713</v>
      </c>
      <c r="AF626" s="27">
        <v>3.3748067576197389</v>
      </c>
      <c r="AG626" s="28">
        <v>3.7966576023222061</v>
      </c>
    </row>
    <row r="627" spans="1:33" ht="23.25">
      <c r="A627" s="1"/>
      <c r="W627" s="23">
        <v>450</v>
      </c>
      <c r="X627" s="27">
        <v>2.3038957466063352</v>
      </c>
      <c r="Y627" s="27">
        <v>2.6878783710407244</v>
      </c>
      <c r="Z627" s="27">
        <v>3.0718609954751135</v>
      </c>
      <c r="AA627" s="27">
        <v>3.4558436199095031</v>
      </c>
      <c r="AB627" s="25"/>
      <c r="AC627" s="25">
        <v>450</v>
      </c>
      <c r="AD627" s="27">
        <v>2.648830885341074</v>
      </c>
      <c r="AE627" s="27">
        <v>3.0903026995645861</v>
      </c>
      <c r="AF627" s="27">
        <v>3.5317745137880991</v>
      </c>
      <c r="AG627" s="28">
        <v>3.9732463280116108</v>
      </c>
    </row>
    <row r="628" spans="1:33" ht="19.5" thickBot="1">
      <c r="A628" s="50" t="s">
        <v>1264</v>
      </c>
      <c r="W628" s="51">
        <v>400</v>
      </c>
      <c r="X628" s="52">
        <v>2.0479073303167423</v>
      </c>
      <c r="Y628" s="52">
        <v>2.3892252187028657</v>
      </c>
      <c r="Z628" s="52">
        <v>2.7305431070889901</v>
      </c>
      <c r="AA628" s="52">
        <v>3.0718609954751135</v>
      </c>
      <c r="AB628" s="53"/>
      <c r="AC628" s="53">
        <v>400</v>
      </c>
      <c r="AD628" s="52">
        <v>2.354516342525399</v>
      </c>
      <c r="AE628" s="52">
        <v>2.7469357329462989</v>
      </c>
      <c r="AF628" s="52">
        <v>3.1393551233671988</v>
      </c>
      <c r="AG628" s="54">
        <v>3.5317745137880991</v>
      </c>
    </row>
    <row r="629" spans="1:33" ht="18.75">
      <c r="A629" s="50"/>
      <c r="W629" s="25"/>
      <c r="X629" s="27"/>
      <c r="Y629" s="27"/>
      <c r="Z629" s="27"/>
      <c r="AA629" s="27"/>
      <c r="AB629" s="25"/>
      <c r="AC629" s="25"/>
      <c r="AD629" s="27"/>
      <c r="AE629" s="27"/>
      <c r="AF629" s="27"/>
      <c r="AG629" s="27"/>
    </row>
    <row r="630" spans="1:33">
      <c r="A630" s="19" t="s">
        <v>35</v>
      </c>
      <c r="B630" s="20" t="str">
        <f>GIGANT!E5</f>
        <v>GL24h</v>
      </c>
      <c r="W630" s="25"/>
      <c r="X630" s="27"/>
      <c r="Y630" s="27"/>
      <c r="Z630" s="27"/>
      <c r="AA630" s="27"/>
      <c r="AB630" s="25"/>
      <c r="AC630" s="25"/>
      <c r="AD630" s="27"/>
      <c r="AE630" s="27"/>
      <c r="AF630" s="27"/>
      <c r="AG630" s="27"/>
    </row>
    <row r="631" spans="1:33" ht="18">
      <c r="A631" s="21" t="s">
        <v>37</v>
      </c>
      <c r="B631">
        <f>VLOOKUP(B630,$V$7:$W$18,2,FALSE)</f>
        <v>385</v>
      </c>
      <c r="C631" t="s">
        <v>38</v>
      </c>
      <c r="W631" s="25"/>
      <c r="X631" s="27"/>
      <c r="Y631" s="27"/>
      <c r="Z631" s="27"/>
      <c r="AA631" s="27"/>
      <c r="AB631" s="25"/>
      <c r="AC631" s="25"/>
      <c r="AD631" s="27"/>
      <c r="AE631" s="27"/>
      <c r="AF631" s="27"/>
      <c r="AG631" s="27"/>
    </row>
    <row r="632" spans="1:33" ht="18">
      <c r="A632" s="21" t="s">
        <v>59</v>
      </c>
      <c r="B632" s="49">
        <v>23900</v>
      </c>
      <c r="C632" t="s">
        <v>60</v>
      </c>
      <c r="W632" s="25"/>
      <c r="X632" s="27"/>
      <c r="Y632" s="27"/>
      <c r="Z632" s="27"/>
      <c r="AA632" s="27"/>
      <c r="AB632" s="25"/>
      <c r="AC632" s="25"/>
      <c r="AD632" s="27"/>
      <c r="AE632" s="27"/>
      <c r="AF632" s="27"/>
      <c r="AG632" s="27"/>
    </row>
    <row r="633" spans="1:33">
      <c r="A633" s="21" t="s">
        <v>61</v>
      </c>
      <c r="B633" s="49">
        <v>10</v>
      </c>
      <c r="C633" t="s">
        <v>62</v>
      </c>
      <c r="W633" s="25"/>
      <c r="X633" s="27"/>
      <c r="Y633" s="27"/>
      <c r="Z633" s="27"/>
      <c r="AA633" s="27"/>
      <c r="AB633" s="25"/>
      <c r="AC633" s="25"/>
      <c r="AD633" s="27"/>
      <c r="AE633" s="27"/>
      <c r="AF633" s="27"/>
      <c r="AG633" s="27"/>
    </row>
    <row r="634" spans="1:33" ht="18">
      <c r="A634" s="21" t="s">
        <v>63</v>
      </c>
      <c r="B634" s="93">
        <f>0.033*B631*B633^-0.3</f>
        <v>6.3675838032344938</v>
      </c>
      <c r="C634" t="s">
        <v>64</v>
      </c>
      <c r="W634" s="25"/>
      <c r="X634" s="27"/>
      <c r="Y634" s="27"/>
      <c r="Z634" s="27"/>
      <c r="AA634" s="27"/>
      <c r="AB634" s="25"/>
      <c r="AC634" s="25"/>
      <c r="AD634" s="27"/>
      <c r="AE634" s="27"/>
      <c r="AF634" s="27"/>
      <c r="AG634" s="27"/>
    </row>
    <row r="635" spans="1:33" ht="18">
      <c r="A635" s="21" t="s">
        <v>65</v>
      </c>
      <c r="B635" s="70">
        <f>0.082*B633^-0.3*B631</f>
        <v>15.822480965612984</v>
      </c>
      <c r="C635" t="s">
        <v>64</v>
      </c>
      <c r="W635" s="25"/>
      <c r="X635" s="27"/>
      <c r="Y635" s="27"/>
      <c r="Z635" s="27"/>
      <c r="AA635" s="27"/>
      <c r="AB635" s="25"/>
      <c r="AC635" s="25"/>
      <c r="AD635" s="27"/>
      <c r="AE635" s="27"/>
      <c r="AF635" s="27"/>
      <c r="AG635" s="27"/>
    </row>
    <row r="637" spans="1:33" ht="18">
      <c r="A637" s="3" t="s">
        <v>2</v>
      </c>
      <c r="B637" s="4" t="s">
        <v>41</v>
      </c>
      <c r="C637" s="4" t="s">
        <v>42</v>
      </c>
      <c r="D637" s="4" t="s">
        <v>56</v>
      </c>
      <c r="E637" s="4" t="s">
        <v>57</v>
      </c>
      <c r="F637" s="4" t="s">
        <v>150</v>
      </c>
      <c r="G637" s="4" t="s">
        <v>151</v>
      </c>
      <c r="H637" s="4" t="s">
        <v>152</v>
      </c>
      <c r="I637" s="4" t="s">
        <v>153</v>
      </c>
      <c r="J637" s="4" t="s">
        <v>154</v>
      </c>
    </row>
    <row r="638" spans="1:33">
      <c r="A638" s="7"/>
      <c r="B638" s="8" t="s">
        <v>19</v>
      </c>
      <c r="C638" s="8" t="s">
        <v>18</v>
      </c>
      <c r="D638" s="8" t="s">
        <v>17</v>
      </c>
      <c r="E638" s="8" t="s">
        <v>17</v>
      </c>
      <c r="F638" s="8" t="s">
        <v>19</v>
      </c>
      <c r="G638" s="8" t="s">
        <v>75</v>
      </c>
      <c r="H638" s="8" t="s">
        <v>75</v>
      </c>
      <c r="I638" s="8" t="s">
        <v>18</v>
      </c>
      <c r="J638" s="8" t="s">
        <v>17</v>
      </c>
    </row>
    <row r="639" spans="1:33" ht="45">
      <c r="A639" s="62" t="s">
        <v>346</v>
      </c>
      <c r="B639" s="63">
        <v>3</v>
      </c>
      <c r="C639" s="57">
        <v>84</v>
      </c>
      <c r="D639" s="58">
        <f t="shared" ref="D639:D645" si="182">($D$646*0.52*SQRT($B$633)*C639^0.9*$B$631^0.8)/1000</f>
        <v>6.2283718772573966</v>
      </c>
      <c r="E639" s="58">
        <f t="shared" ref="E639:E645" si="183">MIN(2.3*SQRT($B$632*$B$634*$B$633)/1000+D639/4,$B$634*$B$633*C639/1000,$B$634*$B$633*C639/1000*(SQRT(2+4*$B$632/($B$634*$B$633*C639^2))-1)+D639/4)</f>
        <v>4.1648356039773766</v>
      </c>
      <c r="F639" s="63">
        <v>3</v>
      </c>
      <c r="G639" s="63">
        <v>56</v>
      </c>
      <c r="H639" s="63">
        <v>99999999</v>
      </c>
      <c r="I639" s="122">
        <v>0</v>
      </c>
      <c r="J639" s="123">
        <f t="shared" ref="J639:J645" si="184">E639/SQRT((1/F639+I639/G639)^2+(I639/H639)^2)</f>
        <v>12.49450681193213</v>
      </c>
    </row>
    <row r="640" spans="1:33" ht="60">
      <c r="A640" s="61" t="s">
        <v>1244</v>
      </c>
      <c r="B640" s="63">
        <v>4</v>
      </c>
      <c r="C640" s="57">
        <v>84</v>
      </c>
      <c r="D640" s="58">
        <f t="shared" si="182"/>
        <v>6.2283718772573966</v>
      </c>
      <c r="E640" s="58">
        <f t="shared" si="183"/>
        <v>4.1648356039773766</v>
      </c>
      <c r="F640" s="63">
        <v>4</v>
      </c>
      <c r="G640" s="63">
        <v>91</v>
      </c>
      <c r="H640" s="63">
        <v>422</v>
      </c>
      <c r="I640" s="122">
        <v>0</v>
      </c>
      <c r="J640" s="123">
        <f t="shared" si="184"/>
        <v>16.659342415909506</v>
      </c>
    </row>
    <row r="641" spans="1:11" ht="60">
      <c r="A641" s="61" t="s">
        <v>1245</v>
      </c>
      <c r="B641" s="63">
        <v>4</v>
      </c>
      <c r="C641" s="57">
        <v>164</v>
      </c>
      <c r="D641" s="58">
        <f t="shared" si="182"/>
        <v>11.373199070320702</v>
      </c>
      <c r="E641" s="58">
        <f t="shared" si="183"/>
        <v>5.6806576720870083</v>
      </c>
      <c r="F641" s="63">
        <v>4</v>
      </c>
      <c r="G641" s="63">
        <v>91</v>
      </c>
      <c r="H641" s="63">
        <v>422</v>
      </c>
      <c r="I641" s="122">
        <v>0</v>
      </c>
      <c r="J641" s="123">
        <f t="shared" si="184"/>
        <v>22.722630688348033</v>
      </c>
    </row>
    <row r="642" spans="1:11" ht="60">
      <c r="A642" s="61" t="s">
        <v>348</v>
      </c>
      <c r="B642" s="63">
        <v>4</v>
      </c>
      <c r="C642" s="57">
        <v>84</v>
      </c>
      <c r="D642" s="58">
        <f t="shared" si="182"/>
        <v>6.2283718772573966</v>
      </c>
      <c r="E642" s="58">
        <f t="shared" si="183"/>
        <v>4.1648356039773766</v>
      </c>
      <c r="F642" s="63">
        <v>4</v>
      </c>
      <c r="G642" s="63">
        <v>98</v>
      </c>
      <c r="H642" s="63">
        <v>99999999</v>
      </c>
      <c r="I642" s="122">
        <v>0</v>
      </c>
      <c r="J642" s="123">
        <f t="shared" si="184"/>
        <v>16.659342415909506</v>
      </c>
    </row>
    <row r="643" spans="1:11" ht="60">
      <c r="A643" s="61" t="s">
        <v>1246</v>
      </c>
      <c r="B643" s="63">
        <v>6</v>
      </c>
      <c r="C643" s="57">
        <v>84</v>
      </c>
      <c r="D643" s="58">
        <f t="shared" si="182"/>
        <v>6.2283718772573966</v>
      </c>
      <c r="E643" s="58">
        <f t="shared" si="183"/>
        <v>4.1648356039773766</v>
      </c>
      <c r="F643" s="63">
        <v>6</v>
      </c>
      <c r="G643" s="63">
        <v>140</v>
      </c>
      <c r="H643" s="63">
        <v>882</v>
      </c>
      <c r="I643" s="441">
        <v>0</v>
      </c>
      <c r="J643" s="123">
        <f t="shared" si="184"/>
        <v>24.98901362386426</v>
      </c>
    </row>
    <row r="644" spans="1:11" ht="60">
      <c r="A644" s="61" t="s">
        <v>1247</v>
      </c>
      <c r="B644" s="63">
        <v>6</v>
      </c>
      <c r="C644" s="57">
        <v>164</v>
      </c>
      <c r="D644" s="58">
        <f t="shared" si="182"/>
        <v>11.373199070320702</v>
      </c>
      <c r="E644" s="58">
        <f t="shared" si="183"/>
        <v>5.6806576720870083</v>
      </c>
      <c r="F644" s="63">
        <v>6</v>
      </c>
      <c r="G644" s="63">
        <v>140</v>
      </c>
      <c r="H644" s="63">
        <v>882</v>
      </c>
      <c r="I644" s="441">
        <v>0</v>
      </c>
      <c r="J644" s="123">
        <f t="shared" si="184"/>
        <v>34.08394603252205</v>
      </c>
    </row>
    <row r="645" spans="1:11" ht="60">
      <c r="A645" s="61" t="s">
        <v>723</v>
      </c>
      <c r="B645" s="63">
        <v>5</v>
      </c>
      <c r="C645" s="57">
        <v>84</v>
      </c>
      <c r="D645" s="58">
        <f t="shared" si="182"/>
        <v>6.2283718772573966</v>
      </c>
      <c r="E645" s="58">
        <f t="shared" si="183"/>
        <v>4.1648356039773766</v>
      </c>
      <c r="F645" s="63">
        <v>5</v>
      </c>
      <c r="G645" s="63">
        <v>151</v>
      </c>
      <c r="H645" s="63">
        <v>99999999</v>
      </c>
      <c r="I645" s="122">
        <v>0</v>
      </c>
      <c r="J645" s="123">
        <f t="shared" si="184"/>
        <v>20.824178019886883</v>
      </c>
    </row>
    <row r="646" spans="1:11">
      <c r="A646" s="83"/>
      <c r="C646" t="s">
        <v>329</v>
      </c>
      <c r="D646" s="20">
        <v>0.6</v>
      </c>
    </row>
    <row r="650" spans="1:11" ht="18">
      <c r="A650" s="3" t="s">
        <v>2</v>
      </c>
      <c r="B650" s="4" t="s">
        <v>41</v>
      </c>
      <c r="C650" s="4" t="s">
        <v>42</v>
      </c>
      <c r="D650" s="4" t="s">
        <v>66</v>
      </c>
      <c r="E650" s="4" t="s">
        <v>67</v>
      </c>
      <c r="F650" s="4" t="s">
        <v>150</v>
      </c>
      <c r="G650" s="4" t="s">
        <v>155</v>
      </c>
      <c r="H650" s="4" t="s">
        <v>152</v>
      </c>
      <c r="I650" s="4" t="s">
        <v>156</v>
      </c>
      <c r="J650" s="4" t="s">
        <v>157</v>
      </c>
      <c r="K650" s="4" t="s">
        <v>158</v>
      </c>
    </row>
    <row r="651" spans="1:11">
      <c r="A651" s="7"/>
      <c r="B651" s="8" t="s">
        <v>19</v>
      </c>
      <c r="C651" s="8" t="s">
        <v>18</v>
      </c>
      <c r="D651" s="8" t="s">
        <v>17</v>
      </c>
      <c r="E651" s="8" t="s">
        <v>17</v>
      </c>
      <c r="F651" s="8" t="s">
        <v>19</v>
      </c>
      <c r="G651" s="8" t="s">
        <v>75</v>
      </c>
      <c r="H651" s="8" t="s">
        <v>75</v>
      </c>
      <c r="I651" s="8" t="s">
        <v>75</v>
      </c>
      <c r="J651" s="8" t="s">
        <v>18</v>
      </c>
      <c r="K651" s="56" t="s">
        <v>17</v>
      </c>
    </row>
    <row r="652" spans="1:11" ht="45">
      <c r="A652" s="62" t="s">
        <v>346</v>
      </c>
      <c r="B652" s="124">
        <v>3</v>
      </c>
      <c r="C652" s="125">
        <v>65</v>
      </c>
      <c r="D652" s="126">
        <f t="shared" ref="D652:D658" si="185">(0.52*SQRT($B$633)*54^0.9*$B$631^0.8)/1000</f>
        <v>6.974712508553587</v>
      </c>
      <c r="E652" s="126">
        <f t="shared" ref="E652:E658" si="186">MIN(2.3*SQRT($B$632*$B$635*$B$633)/1000+D652/4,$B$635*$B$633*C652/1000,$B$635*$B$633*C652/1000*(SQRT(2+4*$B$632/($B$635*$B$633*C652^2))-1)+D652/4)</f>
        <v>6.2163195066404633</v>
      </c>
      <c r="F652" s="124">
        <v>3</v>
      </c>
      <c r="G652" s="124">
        <v>56</v>
      </c>
      <c r="H652" s="124">
        <v>99999999</v>
      </c>
      <c r="I652" s="79">
        <v>2.2200000000000002</v>
      </c>
      <c r="J652" s="127">
        <f>I639</f>
        <v>0</v>
      </c>
      <c r="K652" s="123">
        <f t="shared" ref="K652:K658" si="187">E652/SQRT((1/F652+J652/G652)^2+(J652/H652)^2+(E652/(I652*D652))^2)</f>
        <v>11.912900203514738</v>
      </c>
    </row>
    <row r="653" spans="1:11" ht="60">
      <c r="A653" s="61" t="s">
        <v>1248</v>
      </c>
      <c r="B653" s="124">
        <v>4</v>
      </c>
      <c r="C653" s="125">
        <v>66</v>
      </c>
      <c r="D653" s="126">
        <f t="shared" si="185"/>
        <v>6.974712508553587</v>
      </c>
      <c r="E653" s="126">
        <f t="shared" si="186"/>
        <v>6.2163195066404633</v>
      </c>
      <c r="F653" s="124">
        <v>4</v>
      </c>
      <c r="G653" s="124">
        <v>91</v>
      </c>
      <c r="H653" s="124">
        <v>422</v>
      </c>
      <c r="I653" s="128">
        <v>2.2200000000000002</v>
      </c>
      <c r="J653" s="127">
        <f>I640</f>
        <v>0</v>
      </c>
      <c r="K653" s="123">
        <f t="shared" si="187"/>
        <v>13.143797389630212</v>
      </c>
    </row>
    <row r="654" spans="1:11" ht="60">
      <c r="A654" s="61" t="s">
        <v>1245</v>
      </c>
      <c r="B654" s="124">
        <v>4</v>
      </c>
      <c r="C654" s="125">
        <v>66</v>
      </c>
      <c r="D654" s="126">
        <f t="shared" si="185"/>
        <v>6.974712508553587</v>
      </c>
      <c r="E654" s="126">
        <f t="shared" si="186"/>
        <v>6.2163195066404633</v>
      </c>
      <c r="F654" s="124">
        <v>4</v>
      </c>
      <c r="G654" s="124">
        <v>91</v>
      </c>
      <c r="H654" s="124">
        <v>422</v>
      </c>
      <c r="I654" s="128">
        <v>2.2200000000000002</v>
      </c>
      <c r="J654" s="127">
        <f>I641</f>
        <v>0</v>
      </c>
      <c r="K654" s="123">
        <f t="shared" si="187"/>
        <v>13.143797389630212</v>
      </c>
    </row>
    <row r="655" spans="1:11" ht="60">
      <c r="A655" s="61" t="s">
        <v>348</v>
      </c>
      <c r="B655" s="124">
        <v>4</v>
      </c>
      <c r="C655" s="125">
        <v>66</v>
      </c>
      <c r="D655" s="126">
        <f t="shared" si="185"/>
        <v>6.974712508553587</v>
      </c>
      <c r="E655" s="126">
        <f t="shared" si="186"/>
        <v>6.2163195066404633</v>
      </c>
      <c r="F655" s="124">
        <v>4</v>
      </c>
      <c r="G655" s="124">
        <v>98</v>
      </c>
      <c r="H655" s="124">
        <v>99999999</v>
      </c>
      <c r="I655" s="128">
        <v>2.96</v>
      </c>
      <c r="J655" s="127">
        <f>I642</f>
        <v>0</v>
      </c>
      <c r="K655" s="123">
        <f t="shared" si="187"/>
        <v>15.883866938019651</v>
      </c>
    </row>
    <row r="656" spans="1:11" ht="60">
      <c r="A656" s="61" t="s">
        <v>1249</v>
      </c>
      <c r="B656" s="124">
        <v>6</v>
      </c>
      <c r="C656" s="125">
        <v>67.5</v>
      </c>
      <c r="D656" s="126">
        <f t="shared" si="185"/>
        <v>6.974712508553587</v>
      </c>
      <c r="E656" s="126">
        <f t="shared" si="186"/>
        <v>6.2163195066404633</v>
      </c>
      <c r="F656" s="124">
        <v>6</v>
      </c>
      <c r="G656" s="124">
        <v>140</v>
      </c>
      <c r="H656" s="124">
        <v>882</v>
      </c>
      <c r="I656" s="128">
        <v>3.46</v>
      </c>
      <c r="J656" s="442">
        <v>0</v>
      </c>
      <c r="K656" s="123">
        <f t="shared" si="187"/>
        <v>20.261288282124188</v>
      </c>
    </row>
    <row r="657" spans="1:20" ht="60">
      <c r="A657" s="61" t="s">
        <v>1247</v>
      </c>
      <c r="B657" s="124">
        <v>6</v>
      </c>
      <c r="C657" s="125">
        <v>67.5</v>
      </c>
      <c r="D657" s="126">
        <f t="shared" si="185"/>
        <v>6.974712508553587</v>
      </c>
      <c r="E657" s="126">
        <f t="shared" si="186"/>
        <v>6.2163195066404633</v>
      </c>
      <c r="F657" s="124">
        <v>6</v>
      </c>
      <c r="G657" s="124">
        <v>140</v>
      </c>
      <c r="H657" s="124">
        <v>882</v>
      </c>
      <c r="I657" s="128">
        <v>3.46</v>
      </c>
      <c r="J657" s="442">
        <v>0</v>
      </c>
      <c r="K657" s="123">
        <f t="shared" si="187"/>
        <v>20.261288282124188</v>
      </c>
    </row>
    <row r="658" spans="1:20" ht="60">
      <c r="A658" s="61" t="s">
        <v>350</v>
      </c>
      <c r="B658" s="124">
        <v>6</v>
      </c>
      <c r="C658" s="125">
        <v>67</v>
      </c>
      <c r="D658" s="126">
        <f t="shared" si="185"/>
        <v>6.974712508553587</v>
      </c>
      <c r="E658" s="126">
        <f t="shared" si="186"/>
        <v>6.2163195066404633</v>
      </c>
      <c r="F658" s="124">
        <v>6</v>
      </c>
      <c r="G658" s="124">
        <v>151</v>
      </c>
      <c r="H658" s="124">
        <v>99999999</v>
      </c>
      <c r="I658" s="128">
        <v>3.7</v>
      </c>
      <c r="J658" s="127">
        <f>I645</f>
        <v>0</v>
      </c>
      <c r="K658" s="123">
        <f t="shared" si="187"/>
        <v>21.221896745223432</v>
      </c>
    </row>
    <row r="659" spans="1:20">
      <c r="A659" s="21"/>
      <c r="B659" s="71"/>
    </row>
    <row r="660" spans="1:20">
      <c r="A660" s="21"/>
      <c r="B660" s="71"/>
      <c r="E660" t="s">
        <v>69</v>
      </c>
      <c r="F660" s="129"/>
    </row>
    <row r="661" spans="1:20" ht="18">
      <c r="A661" s="3" t="s">
        <v>2</v>
      </c>
      <c r="B661" s="72" t="s">
        <v>159</v>
      </c>
      <c r="C661" s="72" t="s">
        <v>160</v>
      </c>
      <c r="D661" s="72" t="s">
        <v>158</v>
      </c>
      <c r="E661" s="130" t="s">
        <v>161</v>
      </c>
      <c r="F661" s="74"/>
      <c r="O661" s="3" t="s">
        <v>2</v>
      </c>
      <c r="P661" s="664" t="s">
        <v>162</v>
      </c>
      <c r="Q661" s="665"/>
      <c r="R661" s="665"/>
      <c r="S661" s="665"/>
      <c r="T661" s="666"/>
    </row>
    <row r="662" spans="1:20">
      <c r="A662" s="7"/>
      <c r="B662" s="75" t="s">
        <v>17</v>
      </c>
      <c r="C662" s="76" t="s">
        <v>17</v>
      </c>
      <c r="D662" s="76" t="s">
        <v>17</v>
      </c>
      <c r="E662" s="131" t="s">
        <v>17</v>
      </c>
      <c r="F662" s="74"/>
      <c r="O662" s="7"/>
      <c r="P662" s="87">
        <v>0.6</v>
      </c>
      <c r="Q662" s="87">
        <v>0.7</v>
      </c>
      <c r="R662" s="87">
        <v>0.8</v>
      </c>
      <c r="S662" s="87">
        <v>0.9</v>
      </c>
      <c r="T662" s="87">
        <v>1</v>
      </c>
    </row>
    <row r="663" spans="1:20" ht="45">
      <c r="A663" s="62" t="s">
        <v>346</v>
      </c>
      <c r="B663" s="58">
        <f>J639</f>
        <v>12.49450681193213</v>
      </c>
      <c r="C663" s="58">
        <v>12</v>
      </c>
      <c r="D663" s="58">
        <f>K652</f>
        <v>11.912900203514738</v>
      </c>
      <c r="E663" s="132">
        <f>MIN(B663,D663)</f>
        <v>11.912900203514738</v>
      </c>
      <c r="F663" s="133"/>
      <c r="O663" s="62" t="s">
        <v>346</v>
      </c>
      <c r="P663" s="81">
        <f>MIN(P$662*$B663/1.3,$C663/1,P$662*$D663/1.3)</f>
        <v>5.4982616323914177</v>
      </c>
      <c r="Q663" s="81">
        <f>MIN(Q$662*$B663/1.3,$C663/1,Q$662*$D663/1.3)</f>
        <v>6.4146385711233203</v>
      </c>
      <c r="R663" s="81">
        <f>MIN(R$662*$B663/1.3,$C663/1,R$662*$D663/1.3)</f>
        <v>7.3310155098552228</v>
      </c>
      <c r="S663" s="81">
        <f>MIN(S$662*$B663/1.3,$C663/1,S$662*$D663/1.3)</f>
        <v>8.2473924485871262</v>
      </c>
      <c r="T663" s="81">
        <f>MIN(T$662*$B663/1.3,$C663/1,T$662*$D663/1.3)</f>
        <v>9.1637693873190287</v>
      </c>
    </row>
    <row r="664" spans="1:20" ht="60">
      <c r="A664" s="61" t="s">
        <v>1248</v>
      </c>
      <c r="B664" s="58">
        <f t="shared" ref="B664:B669" si="188">J640</f>
        <v>16.659342415909506</v>
      </c>
      <c r="C664" s="58">
        <v>16</v>
      </c>
      <c r="D664" s="58">
        <f t="shared" ref="D664:D669" si="189">K653</f>
        <v>13.143797389630212</v>
      </c>
      <c r="E664" s="132">
        <f t="shared" ref="E664:E669" si="190">MIN(B664,D664)</f>
        <v>13.143797389630212</v>
      </c>
      <c r="F664" s="133"/>
      <c r="O664" s="61" t="s">
        <v>347</v>
      </c>
      <c r="P664" s="81">
        <f t="shared" ref="P664:T669" si="191">MIN(P$662*$B664/1.3,$C664/1,P$662*$D664/1.3)</f>
        <v>6.0663680259831745</v>
      </c>
      <c r="Q664" s="81">
        <f t="shared" si="191"/>
        <v>7.0774293636470365</v>
      </c>
      <c r="R664" s="81">
        <f t="shared" si="191"/>
        <v>8.0884907013108993</v>
      </c>
      <c r="S664" s="81">
        <f t="shared" si="191"/>
        <v>9.0995520389747622</v>
      </c>
      <c r="T664" s="81">
        <f t="shared" si="191"/>
        <v>10.110613376638623</v>
      </c>
    </row>
    <row r="665" spans="1:20" ht="60">
      <c r="A665" s="61" t="s">
        <v>1245</v>
      </c>
      <c r="B665" s="58">
        <f t="shared" si="188"/>
        <v>22.722630688348033</v>
      </c>
      <c r="C665" s="58">
        <v>16</v>
      </c>
      <c r="D665" s="58">
        <f t="shared" si="189"/>
        <v>13.143797389630212</v>
      </c>
      <c r="E665" s="132">
        <f t="shared" si="190"/>
        <v>13.143797389630212</v>
      </c>
      <c r="F665" s="133"/>
      <c r="O665" s="61"/>
      <c r="P665" s="81"/>
      <c r="Q665" s="81"/>
      <c r="R665" s="81"/>
      <c r="S665" s="81"/>
      <c r="T665" s="81"/>
    </row>
    <row r="666" spans="1:20" ht="60">
      <c r="A666" s="61" t="s">
        <v>348</v>
      </c>
      <c r="B666" s="58">
        <f t="shared" si="188"/>
        <v>16.659342415909506</v>
      </c>
      <c r="C666" s="58">
        <v>16</v>
      </c>
      <c r="D666" s="58">
        <f t="shared" si="189"/>
        <v>15.883866938019651</v>
      </c>
      <c r="E666" s="132">
        <f t="shared" si="190"/>
        <v>15.883866938019651</v>
      </c>
      <c r="F666" s="133"/>
      <c r="O666" s="61" t="s">
        <v>348</v>
      </c>
      <c r="P666" s="81">
        <f t="shared" si="191"/>
        <v>7.3310155098552228</v>
      </c>
      <c r="Q666" s="81">
        <f t="shared" si="191"/>
        <v>8.552851428164427</v>
      </c>
      <c r="R666" s="81">
        <f t="shared" si="191"/>
        <v>9.7746873464736304</v>
      </c>
      <c r="S666" s="81">
        <f t="shared" si="191"/>
        <v>10.996523264782835</v>
      </c>
      <c r="T666" s="81">
        <f t="shared" si="191"/>
        <v>12.218359183092039</v>
      </c>
    </row>
    <row r="667" spans="1:20" ht="60">
      <c r="A667" s="61" t="s">
        <v>1249</v>
      </c>
      <c r="B667" s="58">
        <f t="shared" si="188"/>
        <v>24.98901362386426</v>
      </c>
      <c r="C667" s="58">
        <v>20</v>
      </c>
      <c r="D667" s="58">
        <f t="shared" si="189"/>
        <v>20.261288282124188</v>
      </c>
      <c r="E667" s="132">
        <f t="shared" si="190"/>
        <v>20.261288282124188</v>
      </c>
      <c r="F667" s="133"/>
      <c r="O667" s="61" t="s">
        <v>349</v>
      </c>
      <c r="P667" s="81">
        <f t="shared" si="191"/>
        <v>9.351363822518854</v>
      </c>
      <c r="Q667" s="81">
        <f t="shared" si="191"/>
        <v>10.909924459605332</v>
      </c>
      <c r="R667" s="81">
        <f t="shared" si="191"/>
        <v>12.468485096691809</v>
      </c>
      <c r="S667" s="81">
        <f t="shared" si="191"/>
        <v>14.027045733778284</v>
      </c>
      <c r="T667" s="81">
        <f t="shared" si="191"/>
        <v>15.58560637086476</v>
      </c>
    </row>
    <row r="668" spans="1:20" ht="60">
      <c r="A668" s="61" t="s">
        <v>1247</v>
      </c>
      <c r="B668" s="58">
        <f t="shared" si="188"/>
        <v>34.08394603252205</v>
      </c>
      <c r="C668" s="58">
        <v>20</v>
      </c>
      <c r="D668" s="58">
        <f t="shared" si="189"/>
        <v>20.261288282124188</v>
      </c>
      <c r="E668" s="132">
        <f t="shared" si="190"/>
        <v>20.261288282124188</v>
      </c>
      <c r="F668" s="133"/>
      <c r="O668" s="61"/>
      <c r="P668" s="81"/>
      <c r="Q668" s="81"/>
      <c r="R668" s="81"/>
      <c r="S668" s="81"/>
      <c r="T668" s="81"/>
    </row>
    <row r="669" spans="1:20" ht="60">
      <c r="A669" s="61" t="s">
        <v>350</v>
      </c>
      <c r="B669" s="58">
        <f t="shared" si="188"/>
        <v>20.824178019886883</v>
      </c>
      <c r="C669" s="58">
        <v>20</v>
      </c>
      <c r="D669" s="58">
        <f t="shared" si="189"/>
        <v>21.221896745223432</v>
      </c>
      <c r="E669" s="132">
        <f t="shared" si="190"/>
        <v>20.824178019886883</v>
      </c>
      <c r="F669" s="133"/>
      <c r="O669" s="61" t="s">
        <v>350</v>
      </c>
      <c r="P669" s="81">
        <f t="shared" si="191"/>
        <v>9.6111590861016385</v>
      </c>
      <c r="Q669" s="81">
        <f t="shared" si="191"/>
        <v>11.213018933785243</v>
      </c>
      <c r="R669" s="81">
        <f t="shared" si="191"/>
        <v>12.814878781468851</v>
      </c>
      <c r="S669" s="81">
        <f>MIN(S$662*$B669/1.3,$C669/1,S$662*$D669/1.3)</f>
        <v>14.416738629152459</v>
      </c>
      <c r="T669" s="81">
        <f>MIN(T$662*$B669/1.3,$C669/1,T$662*$D669/1.3)</f>
        <v>16.018598476836065</v>
      </c>
    </row>
    <row r="670" spans="1:20">
      <c r="A670" s="21"/>
      <c r="B670" s="71"/>
      <c r="D670" s="91"/>
    </row>
    <row r="671" spans="1:20">
      <c r="A671" s="21"/>
      <c r="B671" s="71"/>
    </row>
    <row r="672" spans="1:20">
      <c r="A672" s="21"/>
      <c r="B672" s="71"/>
    </row>
    <row r="673" spans="1:26">
      <c r="A673" s="21"/>
      <c r="B673" s="71"/>
    </row>
    <row r="674" spans="1:26">
      <c r="A674" s="21"/>
      <c r="B674" s="71"/>
    </row>
    <row r="675" spans="1:26" ht="18.75">
      <c r="A675" s="50" t="s">
        <v>1265</v>
      </c>
      <c r="B675" s="71"/>
    </row>
    <row r="676" spans="1:26">
      <c r="U676" s="3" t="s">
        <v>15</v>
      </c>
      <c r="V676" s="3" t="s">
        <v>16</v>
      </c>
      <c r="X676" s="2"/>
    </row>
    <row r="677" spans="1:26">
      <c r="A677" s="19" t="s">
        <v>35</v>
      </c>
      <c r="B677" t="str">
        <f>B36</f>
        <v>GL24h</v>
      </c>
      <c r="U677" s="7" t="s">
        <v>20</v>
      </c>
      <c r="V677" s="7" t="s">
        <v>21</v>
      </c>
      <c r="X677" t="s">
        <v>883</v>
      </c>
      <c r="Y677" s="502" t="s">
        <v>640</v>
      </c>
      <c r="Z677" t="s">
        <v>884</v>
      </c>
    </row>
    <row r="678" spans="1:26" ht="18">
      <c r="A678" s="21" t="s">
        <v>37</v>
      </c>
      <c r="B678">
        <f>VLOOKUP(B677,V7:W18,2,FALSE)</f>
        <v>385</v>
      </c>
      <c r="C678" t="s">
        <v>38</v>
      </c>
      <c r="U678" s="13" t="s">
        <v>22</v>
      </c>
      <c r="V678" s="14">
        <v>350</v>
      </c>
      <c r="W678" s="41" t="str">
        <f>HLOOKUP(RICON!$K$6,'RICON_RICON-S-EK_GIGANT_WALCO '!$X$677:$Z$685,2,FALSE)</f>
        <v>Nadelholz KVH/ Vollholz</v>
      </c>
      <c r="X678" s="41" t="s">
        <v>618</v>
      </c>
      <c r="Y678" s="41" t="s">
        <v>643</v>
      </c>
      <c r="Z678" s="41" t="s">
        <v>889</v>
      </c>
    </row>
    <row r="679" spans="1:26" ht="18">
      <c r="A679" s="21" t="s">
        <v>59</v>
      </c>
      <c r="B679" s="49">
        <v>13400</v>
      </c>
      <c r="C679" s="49">
        <v>3900</v>
      </c>
      <c r="D679" t="s">
        <v>60</v>
      </c>
      <c r="U679" s="13" t="s">
        <v>23</v>
      </c>
      <c r="V679" s="14">
        <v>380</v>
      </c>
      <c r="W679" s="41" t="str">
        <f>HLOOKUP(RICON!$K$6,'RICON_RICON-S-EK_GIGANT_WALCO '!$X$677:$Z$685,3,FALSE)</f>
        <v>Nadelholz KVH/ Vollholz</v>
      </c>
      <c r="X679" s="41" t="s">
        <v>618</v>
      </c>
      <c r="Y679" s="41" t="s">
        <v>643</v>
      </c>
      <c r="Z679" s="41" t="s">
        <v>889</v>
      </c>
    </row>
    <row r="680" spans="1:26">
      <c r="A680" s="21" t="s">
        <v>61</v>
      </c>
      <c r="B680" s="49">
        <v>8</v>
      </c>
      <c r="C680" s="49">
        <v>5</v>
      </c>
      <c r="D680" t="s">
        <v>62</v>
      </c>
      <c r="U680" s="13" t="s">
        <v>24</v>
      </c>
      <c r="V680" s="14">
        <v>365</v>
      </c>
      <c r="W680" s="41" t="str">
        <f>HLOOKUP(RICON!$K$6,'RICON_RICON-S-EK_GIGANT_WALCO '!$X$677:$Z$685,4,FALSE)</f>
        <v>Brettschichtholz kombiniert</v>
      </c>
      <c r="X680" s="41" t="s">
        <v>614</v>
      </c>
      <c r="Y680" s="41" t="s">
        <v>641</v>
      </c>
      <c r="Z680" s="41" t="s">
        <v>890</v>
      </c>
    </row>
    <row r="681" spans="1:26" ht="18">
      <c r="A681" s="21" t="s">
        <v>63</v>
      </c>
      <c r="B681" s="93">
        <f>0.033*$B$678*B680^-0.3</f>
        <v>6.808440920761802</v>
      </c>
      <c r="C681" s="93">
        <f>0.033*$B$678*C680^-0.3</f>
        <v>7.8394152258577217</v>
      </c>
      <c r="D681" t="s">
        <v>64</v>
      </c>
      <c r="U681" s="13" t="s">
        <v>25</v>
      </c>
      <c r="V681" s="14">
        <v>385</v>
      </c>
      <c r="W681" s="41" t="str">
        <f>HLOOKUP(RICON!$K$6,'RICON_RICON-S-EK_GIGANT_WALCO '!$X$677:$Z$685,5,FALSE)</f>
        <v>Brettschichtholz homogen</v>
      </c>
      <c r="X681" s="41" t="s">
        <v>615</v>
      </c>
      <c r="Y681" s="41" t="s">
        <v>644</v>
      </c>
      <c r="Z681" s="41" t="s">
        <v>891</v>
      </c>
    </row>
    <row r="682" spans="1:26" ht="18">
      <c r="A682" s="21" t="s">
        <v>65</v>
      </c>
      <c r="B682" s="70">
        <f>0.082*B680^-0.3*$B$678</f>
        <v>16.917944106135387</v>
      </c>
      <c r="C682" s="70">
        <f>0.082*C680^-0.3*$B$678</f>
        <v>19.479759046070704</v>
      </c>
      <c r="D682" t="s">
        <v>64</v>
      </c>
      <c r="U682" s="13" t="s">
        <v>616</v>
      </c>
      <c r="V682" s="14">
        <v>390</v>
      </c>
      <c r="W682" s="41" t="str">
        <f>HLOOKUP(RICON!$K$6,'RICON_RICON-S-EK_GIGANT_WALCO '!$X$677:$Z$685,6,FALSE)</f>
        <v>Brettschichtholz kombiniert</v>
      </c>
      <c r="X682" s="41" t="s">
        <v>614</v>
      </c>
      <c r="Y682" s="41" t="s">
        <v>641</v>
      </c>
      <c r="Z682" s="41" t="s">
        <v>890</v>
      </c>
    </row>
    <row r="683" spans="1:26" ht="33">
      <c r="A683" s="134" t="s">
        <v>163</v>
      </c>
      <c r="B683" s="70">
        <v>4</v>
      </c>
      <c r="C683" s="49" t="s">
        <v>164</v>
      </c>
      <c r="U683" s="13" t="s">
        <v>26</v>
      </c>
      <c r="V683" s="14">
        <v>425</v>
      </c>
      <c r="W683" s="41" t="str">
        <f>HLOOKUP(RICON!$K$6,'RICON_RICON-S-EK_GIGANT_WALCO '!$X$677:$Z$685,7,FALSE)</f>
        <v>Brettschichtholz homogen</v>
      </c>
      <c r="X683" s="41" t="s">
        <v>615</v>
      </c>
      <c r="Y683" s="41" t="s">
        <v>644</v>
      </c>
      <c r="Z683" s="41" t="s">
        <v>891</v>
      </c>
    </row>
    <row r="684" spans="1:26">
      <c r="A684" s="21"/>
      <c r="B684" s="71"/>
      <c r="U684" s="13" t="s">
        <v>625</v>
      </c>
      <c r="V684" s="14">
        <v>530</v>
      </c>
      <c r="W684" s="41" t="str">
        <f>HLOOKUP(RICON!$K$6,'RICON_RICON-S-EK_GIGANT_WALCO '!$X$677:$Z$685,8,FALSE)</f>
        <v>Laubholz (z.B. Eiche)</v>
      </c>
      <c r="X684" s="41" t="s">
        <v>626</v>
      </c>
      <c r="Y684" s="41" t="s">
        <v>645</v>
      </c>
      <c r="Z684" s="41" t="s">
        <v>892</v>
      </c>
    </row>
    <row r="685" spans="1:26" ht="18">
      <c r="A685" s="3" t="s">
        <v>2</v>
      </c>
      <c r="B685" s="4" t="s">
        <v>41</v>
      </c>
      <c r="C685" s="4" t="s">
        <v>9</v>
      </c>
      <c r="D685" s="4" t="s">
        <v>42</v>
      </c>
      <c r="E685" s="4" t="s">
        <v>56</v>
      </c>
      <c r="F685" s="4" t="s">
        <v>57</v>
      </c>
      <c r="G685" s="4" t="s">
        <v>41</v>
      </c>
      <c r="H685" s="4" t="s">
        <v>9</v>
      </c>
      <c r="I685" s="4" t="s">
        <v>42</v>
      </c>
      <c r="J685" s="4" t="s">
        <v>56</v>
      </c>
      <c r="K685" s="4" t="s">
        <v>57</v>
      </c>
      <c r="L685" s="4" t="s">
        <v>165</v>
      </c>
      <c r="U685" s="13" t="s">
        <v>627</v>
      </c>
      <c r="V685" s="14">
        <v>590</v>
      </c>
      <c r="W685" s="41" t="str">
        <f>HLOOKUP(RICON!$K$6,'RICON_RICON-S-EK_GIGANT_WALCO '!$X$677:$Z$685,9,FALSE)</f>
        <v>Furnierschichtholz BauBuche</v>
      </c>
      <c r="X685" s="41" t="s">
        <v>706</v>
      </c>
      <c r="Y685" s="41" t="s">
        <v>707</v>
      </c>
      <c r="Z685" s="41" t="s">
        <v>893</v>
      </c>
    </row>
    <row r="686" spans="1:26">
      <c r="A686" s="7"/>
      <c r="B686" s="8" t="s">
        <v>19</v>
      </c>
      <c r="C686" s="8" t="s">
        <v>18</v>
      </c>
      <c r="D686" s="8" t="s">
        <v>18</v>
      </c>
      <c r="E686" s="8" t="s">
        <v>17</v>
      </c>
      <c r="F686" s="8" t="s">
        <v>17</v>
      </c>
      <c r="G686" s="8" t="s">
        <v>19</v>
      </c>
      <c r="H686" s="8" t="s">
        <v>18</v>
      </c>
      <c r="I686" s="8" t="s">
        <v>18</v>
      </c>
      <c r="J686" s="8" t="s">
        <v>17</v>
      </c>
      <c r="K686" s="8" t="s">
        <v>17</v>
      </c>
      <c r="L686" s="56" t="s">
        <v>17</v>
      </c>
    </row>
    <row r="687" spans="1:26" ht="45">
      <c r="A687" s="62" t="s">
        <v>330</v>
      </c>
      <c r="B687" s="57">
        <v>1</v>
      </c>
      <c r="C687" s="57">
        <v>8</v>
      </c>
      <c r="D687" s="212">
        <v>65</v>
      </c>
      <c r="E687" s="58">
        <f t="shared" ref="E687:E692" si="192">($E$702*0.52*SQRT($C687)*D687^0.9*$B$678^0.8)/1000</f>
        <v>2.2113638026311735</v>
      </c>
      <c r="F687" s="58">
        <f t="shared" ref="F687:F701" si="193">MIN(2.3*SQRT($B$679*$B$681*$B$680)/1000+(E687/4),$B$680*$B$681*D687/1000,$B$680*$B$681*D687/1000*(SQRT(2+4*$B$679/($B$680*$B$681*D687^2))-1)+E687/4)</f>
        <v>2.3028365309859833</v>
      </c>
      <c r="G687" s="57">
        <v>2</v>
      </c>
      <c r="H687" s="57">
        <v>5</v>
      </c>
      <c r="I687" s="212">
        <v>70</v>
      </c>
      <c r="J687" s="688" t="s">
        <v>166</v>
      </c>
      <c r="K687" s="689"/>
      <c r="L687" s="690"/>
    </row>
    <row r="688" spans="1:26" ht="45">
      <c r="A688" s="62" t="s">
        <v>334</v>
      </c>
      <c r="B688" s="57">
        <v>2</v>
      </c>
      <c r="C688" s="57">
        <v>8</v>
      </c>
      <c r="D688" s="212">
        <v>65</v>
      </c>
      <c r="E688" s="58">
        <f t="shared" si="192"/>
        <v>2.2113638026311735</v>
      </c>
      <c r="F688" s="58">
        <f t="shared" si="193"/>
        <v>2.3028365309859833</v>
      </c>
      <c r="G688" s="57">
        <v>2</v>
      </c>
      <c r="H688" s="57">
        <v>5</v>
      </c>
      <c r="I688" s="212">
        <v>70</v>
      </c>
      <c r="J688" s="691"/>
      <c r="K688" s="692"/>
      <c r="L688" s="693"/>
    </row>
    <row r="689" spans="1:27" ht="45">
      <c r="A689" s="62" t="s">
        <v>331</v>
      </c>
      <c r="B689" s="57">
        <v>2</v>
      </c>
      <c r="C689" s="57">
        <v>8</v>
      </c>
      <c r="D689" s="212">
        <v>65</v>
      </c>
      <c r="E689" s="58">
        <f t="shared" si="192"/>
        <v>2.2113638026311735</v>
      </c>
      <c r="F689" s="58">
        <f t="shared" si="193"/>
        <v>2.3028365309859833</v>
      </c>
      <c r="G689" s="57">
        <v>4</v>
      </c>
      <c r="H689" s="57">
        <v>5</v>
      </c>
      <c r="I689" s="212">
        <v>70</v>
      </c>
      <c r="J689" s="691"/>
      <c r="K689" s="692"/>
      <c r="L689" s="693"/>
    </row>
    <row r="690" spans="1:27" ht="45">
      <c r="A690" s="62" t="s">
        <v>333</v>
      </c>
      <c r="B690" s="57">
        <v>2</v>
      </c>
      <c r="C690" s="57">
        <v>8</v>
      </c>
      <c r="D690" s="212">
        <v>65</v>
      </c>
      <c r="E690" s="58">
        <f t="shared" si="192"/>
        <v>2.2113638026311735</v>
      </c>
      <c r="F690" s="58">
        <f t="shared" si="193"/>
        <v>2.3028365309859833</v>
      </c>
      <c r="G690" s="57">
        <v>6</v>
      </c>
      <c r="H690" s="57">
        <v>5</v>
      </c>
      <c r="I690" s="212">
        <v>70</v>
      </c>
      <c r="J690" s="691"/>
      <c r="K690" s="692"/>
      <c r="L690" s="693"/>
    </row>
    <row r="691" spans="1:27" ht="45">
      <c r="A691" s="62" t="s">
        <v>332</v>
      </c>
      <c r="B691" s="57">
        <v>2</v>
      </c>
      <c r="C691" s="57">
        <v>8</v>
      </c>
      <c r="D691" s="212">
        <v>65</v>
      </c>
      <c r="E691" s="58">
        <f t="shared" si="192"/>
        <v>2.2113638026311735</v>
      </c>
      <c r="F691" s="58">
        <f t="shared" si="193"/>
        <v>2.3028365309859833</v>
      </c>
      <c r="G691" s="57">
        <v>8</v>
      </c>
      <c r="H691" s="57">
        <v>5</v>
      </c>
      <c r="I691" s="212">
        <v>70</v>
      </c>
      <c r="J691" s="691"/>
      <c r="K691" s="692"/>
      <c r="L691" s="693"/>
    </row>
    <row r="692" spans="1:27" ht="45">
      <c r="A692" s="62" t="s">
        <v>335</v>
      </c>
      <c r="B692" s="57">
        <v>2</v>
      </c>
      <c r="C692" s="57">
        <v>8</v>
      </c>
      <c r="D692" s="212">
        <v>65</v>
      </c>
      <c r="E692" s="58">
        <f t="shared" si="192"/>
        <v>2.2113638026311735</v>
      </c>
      <c r="F692" s="58">
        <f t="shared" si="193"/>
        <v>2.3028365309859833</v>
      </c>
      <c r="G692" s="57">
        <v>10</v>
      </c>
      <c r="H692" s="57">
        <v>5</v>
      </c>
      <c r="I692" s="212">
        <v>70</v>
      </c>
      <c r="J692" s="691"/>
      <c r="K692" s="692"/>
      <c r="L692" s="693"/>
    </row>
    <row r="693" spans="1:27" ht="45">
      <c r="A693" s="256" t="s">
        <v>738</v>
      </c>
      <c r="B693" s="57">
        <v>2</v>
      </c>
      <c r="C693" s="57">
        <v>8</v>
      </c>
      <c r="D693" s="212">
        <f>160-15</f>
        <v>145</v>
      </c>
      <c r="E693" s="58">
        <f>($E$703*0.52*SQRT($C693)*D693^0.9*$B$678^0.8)/1000</f>
        <v>9.1054072130615449</v>
      </c>
      <c r="F693" s="58">
        <f>MIN(2.3*SQRT($B$679*$B$681*$B$680)/1000+(E693/4),$B$680*$B$681*D693/1000,$B$680*$B$681*D693/1000*(SQRT(2+4*$B$679/($B$680*$B$681*D693^2))-1)+E693/4)</f>
        <v>4.2412907704786091</v>
      </c>
      <c r="G693" s="57">
        <v>4</v>
      </c>
      <c r="H693" s="57">
        <v>5</v>
      </c>
      <c r="I693" s="212">
        <v>70</v>
      </c>
      <c r="J693" s="691"/>
      <c r="K693" s="692"/>
      <c r="L693" s="693"/>
    </row>
    <row r="694" spans="1:27" ht="45">
      <c r="A694" s="256" t="s">
        <v>727</v>
      </c>
      <c r="B694" s="57">
        <v>2</v>
      </c>
      <c r="C694" s="57">
        <v>8</v>
      </c>
      <c r="D694" s="212">
        <f>160-15</f>
        <v>145</v>
      </c>
      <c r="E694" s="58">
        <f>($E$703*0.52*SQRT($C694)*D694^0.9*$B$678^0.8)/1000</f>
        <v>9.1054072130615449</v>
      </c>
      <c r="F694" s="58">
        <f>MIN(2.3*SQRT($B$679*$B$681*$B$680)/1000+(E694/4),$B$680*$B$681*D694/1000,$B$680*$B$681*D694/1000*(SQRT(2+4*$B$679/($B$680*$B$681*D694^2))-1)+E694/4)</f>
        <v>4.2412907704786091</v>
      </c>
      <c r="G694" s="57">
        <v>6</v>
      </c>
      <c r="H694" s="57">
        <v>5</v>
      </c>
      <c r="I694" s="212">
        <v>70</v>
      </c>
      <c r="J694" s="691"/>
      <c r="K694" s="692"/>
      <c r="L694" s="693"/>
    </row>
    <row r="695" spans="1:27" ht="45">
      <c r="A695" s="256" t="s">
        <v>336</v>
      </c>
      <c r="B695" s="57">
        <v>2</v>
      </c>
      <c r="C695" s="57">
        <v>8</v>
      </c>
      <c r="D695" s="212">
        <f>160-15</f>
        <v>145</v>
      </c>
      <c r="E695" s="58">
        <f>($E$703*0.52*SQRT($C695)*D695^0.9*$B$678^0.8)/1000</f>
        <v>9.1054072130615449</v>
      </c>
      <c r="F695" s="58">
        <f>MIN(2.3*SQRT($B$679*$B$681*$B$680)/1000+(E695/4),$B$680*$B$681*D695/1000,$B$680*$B$681*D695/1000*(SQRT(2+4*$B$679/($B$680*$B$681*D695^2))-1)+E695/4)</f>
        <v>4.2412907704786091</v>
      </c>
      <c r="G695" s="57">
        <v>8</v>
      </c>
      <c r="H695" s="57">
        <v>5</v>
      </c>
      <c r="I695" s="212">
        <v>70</v>
      </c>
      <c r="J695" s="691"/>
      <c r="K695" s="692"/>
      <c r="L695" s="693"/>
    </row>
    <row r="696" spans="1:27" ht="45">
      <c r="A696" s="256" t="s">
        <v>337</v>
      </c>
      <c r="B696" s="57">
        <v>2</v>
      </c>
      <c r="C696" s="57">
        <v>8</v>
      </c>
      <c r="D696" s="212">
        <f>160-15</f>
        <v>145</v>
      </c>
      <c r="E696" s="58">
        <f>($E$703*0.52*SQRT($C696)*D696^0.9*$B$678^0.8)/1000</f>
        <v>9.1054072130615449</v>
      </c>
      <c r="F696" s="58">
        <f>MIN(2.3*SQRT($B$679*$B$681*$B$680)/1000+(E696/4),$B$680*$B$681*D696/1000,$B$680*$B$681*D696/1000*(SQRT(2+4*$B$679/($B$680*$B$681*D696^2))-1)+E696/4)</f>
        <v>4.2412907704786091</v>
      </c>
      <c r="G696" s="57">
        <v>10</v>
      </c>
      <c r="H696" s="57">
        <v>5</v>
      </c>
      <c r="I696" s="212">
        <v>70</v>
      </c>
      <c r="J696" s="691"/>
      <c r="K696" s="692"/>
      <c r="L696" s="693"/>
    </row>
    <row r="697" spans="1:27" ht="45">
      <c r="A697" s="62" t="s">
        <v>338</v>
      </c>
      <c r="B697" s="57">
        <v>3</v>
      </c>
      <c r="C697" s="57">
        <v>8</v>
      </c>
      <c r="D697" s="212">
        <v>65</v>
      </c>
      <c r="E697" s="58">
        <f>($E$702*0.52*SQRT($C697)*D697^0.9*$B$678^0.8)/1000</f>
        <v>2.2113638026311735</v>
      </c>
      <c r="F697" s="58">
        <f t="shared" si="193"/>
        <v>2.3028365309859833</v>
      </c>
      <c r="G697" s="57">
        <v>4</v>
      </c>
      <c r="H697" s="57">
        <v>5</v>
      </c>
      <c r="I697" s="212">
        <v>70</v>
      </c>
      <c r="J697" s="691"/>
      <c r="K697" s="692"/>
      <c r="L697" s="693"/>
    </row>
    <row r="698" spans="1:27" ht="49.5" customHeight="1">
      <c r="A698" s="62" t="s">
        <v>339</v>
      </c>
      <c r="B698" s="57">
        <v>3</v>
      </c>
      <c r="C698" s="57">
        <v>8</v>
      </c>
      <c r="D698" s="212">
        <v>65</v>
      </c>
      <c r="E698" s="58">
        <f>($E$702*0.52*SQRT($C698)*D698^0.9*$B$678^0.8)/1000</f>
        <v>2.2113638026311735</v>
      </c>
      <c r="F698" s="58">
        <f t="shared" si="193"/>
        <v>2.3028365309859833</v>
      </c>
      <c r="G698" s="57">
        <v>8</v>
      </c>
      <c r="H698" s="57">
        <v>5</v>
      </c>
      <c r="I698" s="212">
        <v>70</v>
      </c>
      <c r="J698" s="691"/>
      <c r="K698" s="692"/>
      <c r="L698" s="693"/>
    </row>
    <row r="699" spans="1:27" ht="49.5" customHeight="1">
      <c r="A699" s="62" t="s">
        <v>340</v>
      </c>
      <c r="B699" s="57">
        <v>3</v>
      </c>
      <c r="C699" s="57">
        <v>8</v>
      </c>
      <c r="D699" s="212">
        <v>65</v>
      </c>
      <c r="E699" s="58">
        <f>($E$702*0.52*SQRT($C699)*D699^0.9*$B$678^0.8)/1000</f>
        <v>2.2113638026311735</v>
      </c>
      <c r="F699" s="58">
        <f t="shared" si="193"/>
        <v>2.3028365309859833</v>
      </c>
      <c r="G699" s="57">
        <v>12</v>
      </c>
      <c r="H699" s="57">
        <v>5</v>
      </c>
      <c r="I699" s="212">
        <v>70</v>
      </c>
      <c r="J699" s="691"/>
      <c r="K699" s="692"/>
      <c r="L699" s="693"/>
    </row>
    <row r="700" spans="1:27" ht="49.5" customHeight="1">
      <c r="A700" s="62" t="s">
        <v>341</v>
      </c>
      <c r="B700" s="57">
        <v>3</v>
      </c>
      <c r="C700" s="57">
        <v>8</v>
      </c>
      <c r="D700" s="212">
        <v>65</v>
      </c>
      <c r="E700" s="58">
        <f>($E$702*0.52*SQRT($C700)*D700^0.9*$B$678^0.8)/1000</f>
        <v>2.2113638026311735</v>
      </c>
      <c r="F700" s="58">
        <f t="shared" si="193"/>
        <v>2.3028365309859833</v>
      </c>
      <c r="G700" s="57">
        <v>16</v>
      </c>
      <c r="H700" s="57">
        <v>5</v>
      </c>
      <c r="I700" s="212">
        <v>70</v>
      </c>
      <c r="J700" s="691"/>
      <c r="K700" s="692"/>
      <c r="L700" s="693"/>
    </row>
    <row r="701" spans="1:27" ht="49.5" customHeight="1">
      <c r="A701" s="62" t="s">
        <v>342</v>
      </c>
      <c r="B701" s="57">
        <v>3</v>
      </c>
      <c r="C701" s="57">
        <v>8</v>
      </c>
      <c r="D701" s="212">
        <v>65</v>
      </c>
      <c r="E701" s="58">
        <f>($E$702*0.52*SQRT($C701)*D701^0.9*$B$678^0.8)/1000</f>
        <v>2.2113638026311735</v>
      </c>
      <c r="F701" s="58">
        <f t="shared" si="193"/>
        <v>2.3028365309859833</v>
      </c>
      <c r="G701" s="57">
        <v>20</v>
      </c>
      <c r="H701" s="57">
        <v>5</v>
      </c>
      <c r="I701" s="212">
        <v>70</v>
      </c>
      <c r="J701" s="694"/>
      <c r="K701" s="695"/>
      <c r="L701" s="696"/>
    </row>
    <row r="702" spans="1:27">
      <c r="A702" s="83"/>
      <c r="D702" s="238" t="s">
        <v>329</v>
      </c>
      <c r="E702" s="247">
        <v>0.3</v>
      </c>
      <c r="K702" t="s">
        <v>167</v>
      </c>
      <c r="X702" t="s">
        <v>167</v>
      </c>
      <c r="Y702" t="s">
        <v>168</v>
      </c>
      <c r="Z702" s="2" t="s">
        <v>169</v>
      </c>
      <c r="AA702" s="2" t="s">
        <v>170</v>
      </c>
    </row>
    <row r="703" spans="1:27">
      <c r="D703" s="110" t="s">
        <v>329</v>
      </c>
      <c r="E703" s="253">
        <v>0.6</v>
      </c>
      <c r="K703" t="s">
        <v>171</v>
      </c>
      <c r="X703" t="s">
        <v>171</v>
      </c>
      <c r="Y703" t="s">
        <v>172</v>
      </c>
      <c r="Z703" t="s">
        <v>173</v>
      </c>
      <c r="AA703" t="s">
        <v>174</v>
      </c>
    </row>
    <row r="704" spans="1:27" ht="18">
      <c r="A704" s="3" t="s">
        <v>2</v>
      </c>
      <c r="B704" s="4" t="s">
        <v>165</v>
      </c>
      <c r="C704" s="4" t="s">
        <v>150</v>
      </c>
      <c r="D704" s="4" t="s">
        <v>155</v>
      </c>
      <c r="E704" s="4" t="s">
        <v>175</v>
      </c>
      <c r="F704" s="4" t="s">
        <v>153</v>
      </c>
      <c r="G704" s="4" t="s">
        <v>176</v>
      </c>
      <c r="H704" s="4" t="s">
        <v>177</v>
      </c>
      <c r="I704" s="4" t="s">
        <v>178</v>
      </c>
      <c r="J704" s="2"/>
      <c r="K704" s="4" t="s">
        <v>177</v>
      </c>
      <c r="L704" s="135" t="s">
        <v>179</v>
      </c>
      <c r="X704" s="4" t="s">
        <v>177</v>
      </c>
      <c r="Y704" s="4" t="s">
        <v>180</v>
      </c>
      <c r="Z704" s="4" t="s">
        <v>180</v>
      </c>
      <c r="AA704" s="4" t="s">
        <v>180</v>
      </c>
    </row>
    <row r="705" spans="1:27">
      <c r="A705" s="7"/>
      <c r="B705" s="56" t="s">
        <v>17</v>
      </c>
      <c r="C705" s="8" t="s">
        <v>19</v>
      </c>
      <c r="D705" s="8" t="s">
        <v>75</v>
      </c>
      <c r="E705" s="8" t="s">
        <v>75</v>
      </c>
      <c r="F705" s="8" t="s">
        <v>18</v>
      </c>
      <c r="G705" s="8" t="s">
        <v>17</v>
      </c>
      <c r="H705" s="8" t="s">
        <v>18</v>
      </c>
      <c r="I705" s="8" t="s">
        <v>17</v>
      </c>
      <c r="J705" s="2"/>
      <c r="K705" s="8" t="s">
        <v>18</v>
      </c>
      <c r="L705" s="136" t="s">
        <v>18</v>
      </c>
      <c r="X705" s="8" t="s">
        <v>18</v>
      </c>
      <c r="Y705" s="8" t="s">
        <v>18</v>
      </c>
      <c r="Z705" s="8" t="s">
        <v>18</v>
      </c>
      <c r="AA705" s="8" t="s">
        <v>18</v>
      </c>
    </row>
    <row r="706" spans="1:27" ht="43.5" customHeight="1">
      <c r="A706" s="62" t="s">
        <v>330</v>
      </c>
      <c r="B706" s="676" t="s">
        <v>166</v>
      </c>
      <c r="C706" s="276">
        <v>2.8</v>
      </c>
      <c r="D706" s="57">
        <v>29</v>
      </c>
      <c r="E706" s="277">
        <v>43</v>
      </c>
      <c r="F706" s="278">
        <v>0</v>
      </c>
      <c r="G706" s="212">
        <f t="shared" ref="G706:G720" si="194">$F687/SQRT((1/$C706+F706/$D706)^2+(F706/$E706)^2)</f>
        <v>6.4479422867607532</v>
      </c>
      <c r="H706" s="278">
        <f>K706</f>
        <v>73.5</v>
      </c>
      <c r="I706" s="279">
        <f t="shared" ref="I706:I720" si="195">$F687/SQRT((1/$C706+H706/$D706)^2+(H706/$E706)^2)</f>
        <v>0.68556196386955359</v>
      </c>
      <c r="J706" s="280"/>
      <c r="K706" s="278">
        <f>53/2+16+10+L706</f>
        <v>73.5</v>
      </c>
      <c r="L706" s="281">
        <v>21</v>
      </c>
      <c r="X706" s="137">
        <f t="shared" ref="X706:X720" si="196">53/2+16+10+L706</f>
        <v>73.5</v>
      </c>
      <c r="Y706" s="137">
        <f>21+10+16+36/2</f>
        <v>65</v>
      </c>
      <c r="Z706" s="137">
        <f>21+10+19+16/2</f>
        <v>58</v>
      </c>
      <c r="AA706" s="137">
        <f>21+10+19+52/2</f>
        <v>76</v>
      </c>
    </row>
    <row r="707" spans="1:27" ht="45">
      <c r="A707" s="62" t="s">
        <v>334</v>
      </c>
      <c r="B707" s="677"/>
      <c r="C707" s="276">
        <v>3.8</v>
      </c>
      <c r="D707" s="57">
        <v>42</v>
      </c>
      <c r="E707" s="277">
        <v>81</v>
      </c>
      <c r="F707" s="278">
        <v>0</v>
      </c>
      <c r="G707" s="212">
        <f t="shared" si="194"/>
        <v>8.7507788177467365</v>
      </c>
      <c r="H707" s="278">
        <f t="shared" ref="H707:H720" si="197">K707</f>
        <v>83.5</v>
      </c>
      <c r="I707" s="279">
        <f t="shared" si="195"/>
        <v>0.93004458531057144</v>
      </c>
      <c r="J707" s="280"/>
      <c r="K707" s="278">
        <f t="shared" ref="K707:K720" si="198">53/2+16+10+L707</f>
        <v>83.5</v>
      </c>
      <c r="L707" s="281">
        <v>31</v>
      </c>
      <c r="X707" s="137">
        <f t="shared" si="196"/>
        <v>83.5</v>
      </c>
      <c r="Y707" s="137">
        <f>31+10+16+36/2</f>
        <v>75</v>
      </c>
      <c r="Z707" s="137">
        <f>31+10+19+16/2</f>
        <v>68</v>
      </c>
      <c r="AA707" s="137">
        <f>31+10+19+52/2</f>
        <v>86</v>
      </c>
    </row>
    <row r="708" spans="1:27" ht="45">
      <c r="A708" s="62" t="s">
        <v>331</v>
      </c>
      <c r="B708" s="677"/>
      <c r="C708" s="276">
        <v>5.6</v>
      </c>
      <c r="D708" s="57">
        <v>72</v>
      </c>
      <c r="E708" s="277">
        <v>212</v>
      </c>
      <c r="F708" s="278">
        <v>0</v>
      </c>
      <c r="G708" s="212">
        <f t="shared" si="194"/>
        <v>12.895884573521506</v>
      </c>
      <c r="H708" s="278">
        <f t="shared" si="197"/>
        <v>93.5</v>
      </c>
      <c r="I708" s="279">
        <f t="shared" si="195"/>
        <v>1.4937800644343464</v>
      </c>
      <c r="J708" s="280"/>
      <c r="K708" s="278">
        <f t="shared" si="198"/>
        <v>93.5</v>
      </c>
      <c r="L708" s="281">
        <v>41</v>
      </c>
      <c r="X708" s="137">
        <f t="shared" si="196"/>
        <v>93.5</v>
      </c>
      <c r="Y708" s="137">
        <f>41+10+16+36/2</f>
        <v>85</v>
      </c>
      <c r="Z708" s="137">
        <f>41+10+19+16/2</f>
        <v>78</v>
      </c>
      <c r="AA708" s="137">
        <f>41+10+19+52/2</f>
        <v>96</v>
      </c>
    </row>
    <row r="709" spans="1:27" ht="45">
      <c r="A709" s="62" t="s">
        <v>333</v>
      </c>
      <c r="B709" s="677"/>
      <c r="C709" s="276">
        <v>7.3</v>
      </c>
      <c r="D709" s="57">
        <v>109</v>
      </c>
      <c r="E709" s="277">
        <v>433</v>
      </c>
      <c r="F709" s="278">
        <v>0</v>
      </c>
      <c r="G709" s="212">
        <f t="shared" si="194"/>
        <v>16.810706676197679</v>
      </c>
      <c r="H709" s="278">
        <f t="shared" si="197"/>
        <v>103.5</v>
      </c>
      <c r="I709" s="279">
        <f t="shared" si="195"/>
        <v>2.0699476121956257</v>
      </c>
      <c r="J709" s="280"/>
      <c r="K709" s="278">
        <f t="shared" si="198"/>
        <v>103.5</v>
      </c>
      <c r="L709" s="281">
        <v>51</v>
      </c>
      <c r="X709" s="137">
        <f t="shared" si="196"/>
        <v>103.5</v>
      </c>
      <c r="Y709" s="137">
        <f>51+10+16+36/2</f>
        <v>95</v>
      </c>
      <c r="Z709" s="137">
        <f>51+10+19+16/2</f>
        <v>88</v>
      </c>
      <c r="AA709" s="137">
        <f>51+10+19+52/2</f>
        <v>106</v>
      </c>
    </row>
    <row r="710" spans="1:27" ht="45">
      <c r="A710" s="62" t="s">
        <v>332</v>
      </c>
      <c r="B710" s="677"/>
      <c r="C710" s="276">
        <v>9.1</v>
      </c>
      <c r="D710" s="57">
        <v>154</v>
      </c>
      <c r="E710" s="277">
        <v>767</v>
      </c>
      <c r="F710" s="278">
        <v>0</v>
      </c>
      <c r="G710" s="212">
        <f t="shared" si="194"/>
        <v>20.955812431972447</v>
      </c>
      <c r="H710" s="278">
        <f t="shared" si="197"/>
        <v>113.5</v>
      </c>
      <c r="I710" s="279">
        <f t="shared" si="195"/>
        <v>2.6785451403230303</v>
      </c>
      <c r="J710" s="280"/>
      <c r="K710" s="278">
        <f t="shared" si="198"/>
        <v>113.5</v>
      </c>
      <c r="L710" s="281">
        <v>61</v>
      </c>
      <c r="X710" s="137">
        <f t="shared" si="196"/>
        <v>113.5</v>
      </c>
      <c r="Y710" s="137">
        <f>61+10+16+36/2</f>
        <v>105</v>
      </c>
      <c r="Z710" s="137">
        <f>61+10+19+16/2</f>
        <v>98</v>
      </c>
      <c r="AA710" s="137">
        <f>61+10+19+52/2</f>
        <v>116</v>
      </c>
    </row>
    <row r="711" spans="1:27" ht="45">
      <c r="A711" s="62" t="s">
        <v>335</v>
      </c>
      <c r="B711" s="677"/>
      <c r="C711" s="276">
        <v>10.9</v>
      </c>
      <c r="D711" s="57">
        <v>208</v>
      </c>
      <c r="E711" s="277">
        <v>1241</v>
      </c>
      <c r="F711" s="278">
        <v>0</v>
      </c>
      <c r="G711" s="212">
        <f t="shared" si="194"/>
        <v>25.100918187747219</v>
      </c>
      <c r="H711" s="278">
        <f t="shared" si="197"/>
        <v>123.5</v>
      </c>
      <c r="I711" s="279">
        <f t="shared" si="195"/>
        <v>3.3245358298367984</v>
      </c>
      <c r="J711" s="280"/>
      <c r="K711" s="278">
        <f t="shared" si="198"/>
        <v>123.5</v>
      </c>
      <c r="L711" s="281">
        <v>71</v>
      </c>
      <c r="X711" s="137">
        <f t="shared" si="196"/>
        <v>123.5</v>
      </c>
      <c r="Y711" s="137">
        <f>71+10+16+36/2</f>
        <v>115</v>
      </c>
      <c r="Z711" s="137">
        <f>71+10+19+16/2</f>
        <v>108</v>
      </c>
      <c r="AA711" s="137">
        <f>71+10+19+52/2</f>
        <v>126</v>
      </c>
    </row>
    <row r="712" spans="1:27" ht="45">
      <c r="A712" s="256" t="s">
        <v>738</v>
      </c>
      <c r="B712" s="677"/>
      <c r="C712" s="276">
        <v>5.6</v>
      </c>
      <c r="D712" s="57">
        <v>72</v>
      </c>
      <c r="E712" s="277">
        <v>212</v>
      </c>
      <c r="F712" s="278">
        <v>0</v>
      </c>
      <c r="G712" s="212">
        <f t="shared" si="194"/>
        <v>23.751228314680212</v>
      </c>
      <c r="H712" s="278">
        <f>K712</f>
        <v>93.5</v>
      </c>
      <c r="I712" s="279">
        <f t="shared" si="195"/>
        <v>2.7511964115393384</v>
      </c>
      <c r="J712" s="280"/>
      <c r="K712" s="278">
        <f t="shared" si="198"/>
        <v>93.5</v>
      </c>
      <c r="L712" s="281">
        <v>41</v>
      </c>
      <c r="X712" s="137">
        <f t="shared" si="196"/>
        <v>93.5</v>
      </c>
      <c r="Y712" s="137"/>
      <c r="Z712" s="137"/>
      <c r="AA712" s="137"/>
    </row>
    <row r="713" spans="1:27" ht="45">
      <c r="A713" s="256" t="s">
        <v>727</v>
      </c>
      <c r="B713" s="677"/>
      <c r="C713" s="276">
        <v>7.3</v>
      </c>
      <c r="D713" s="57">
        <v>109</v>
      </c>
      <c r="E713" s="277">
        <v>433</v>
      </c>
      <c r="F713" s="278">
        <v>0</v>
      </c>
      <c r="G713" s="212">
        <f t="shared" si="194"/>
        <v>30.961422624493849</v>
      </c>
      <c r="H713" s="278">
        <f t="shared" si="197"/>
        <v>103.5</v>
      </c>
      <c r="I713" s="279">
        <f t="shared" si="195"/>
        <v>3.8123633982915046</v>
      </c>
      <c r="J713" s="280"/>
      <c r="K713" s="278">
        <f t="shared" si="198"/>
        <v>103.5</v>
      </c>
      <c r="L713" s="281">
        <v>51</v>
      </c>
      <c r="X713" s="137">
        <f t="shared" si="196"/>
        <v>103.5</v>
      </c>
      <c r="Y713" s="137"/>
      <c r="Z713" s="137"/>
      <c r="AA713" s="137"/>
    </row>
    <row r="714" spans="1:27" ht="45">
      <c r="A714" s="256" t="s">
        <v>336</v>
      </c>
      <c r="B714" s="677"/>
      <c r="C714" s="276">
        <v>9.1</v>
      </c>
      <c r="D714" s="57">
        <v>154</v>
      </c>
      <c r="E714" s="277">
        <v>767</v>
      </c>
      <c r="F714" s="278">
        <v>0</v>
      </c>
      <c r="G714" s="212">
        <f t="shared" si="194"/>
        <v>38.595746011355345</v>
      </c>
      <c r="H714" s="278">
        <f t="shared" si="197"/>
        <v>113.5</v>
      </c>
      <c r="I714" s="279">
        <f t="shared" si="195"/>
        <v>4.9332588870727569</v>
      </c>
      <c r="J714" s="280"/>
      <c r="K714" s="278">
        <f t="shared" si="198"/>
        <v>113.5</v>
      </c>
      <c r="L714" s="281">
        <v>61</v>
      </c>
      <c r="X714" s="137">
        <f t="shared" si="196"/>
        <v>113.5</v>
      </c>
      <c r="Y714" s="137"/>
      <c r="Z714" s="137"/>
      <c r="AA714" s="137"/>
    </row>
    <row r="715" spans="1:27" ht="45">
      <c r="A715" s="256" t="s">
        <v>337</v>
      </c>
      <c r="B715" s="677"/>
      <c r="C715" s="276">
        <v>10.9</v>
      </c>
      <c r="D715" s="57">
        <v>208</v>
      </c>
      <c r="E715" s="277">
        <v>1241</v>
      </c>
      <c r="F715" s="278">
        <v>0</v>
      </c>
      <c r="G715" s="212">
        <f t="shared" si="194"/>
        <v>46.230069398216841</v>
      </c>
      <c r="H715" s="278">
        <f t="shared" si="197"/>
        <v>123.5</v>
      </c>
      <c r="I715" s="279">
        <f t="shared" si="195"/>
        <v>6.12302390616283</v>
      </c>
      <c r="J715" s="280"/>
      <c r="K715" s="278">
        <f t="shared" si="198"/>
        <v>123.5</v>
      </c>
      <c r="L715" s="281">
        <v>71</v>
      </c>
      <c r="X715" s="137">
        <f t="shared" si="196"/>
        <v>123.5</v>
      </c>
      <c r="Y715" s="137"/>
      <c r="Z715" s="137"/>
      <c r="AA715" s="137"/>
    </row>
    <row r="716" spans="1:27" ht="45">
      <c r="A716" s="62" t="s">
        <v>338</v>
      </c>
      <c r="B716" s="677"/>
      <c r="C716" s="276">
        <v>6.6</v>
      </c>
      <c r="D716" s="57">
        <v>182</v>
      </c>
      <c r="E716" s="277">
        <v>1140</v>
      </c>
      <c r="F716" s="278">
        <v>0</v>
      </c>
      <c r="G716" s="212">
        <f t="shared" si="194"/>
        <v>15.19872110450749</v>
      </c>
      <c r="H716" s="278">
        <f t="shared" si="197"/>
        <v>118.5</v>
      </c>
      <c r="I716" s="279">
        <f t="shared" si="195"/>
        <v>2.8454065427374902</v>
      </c>
      <c r="J716" s="280"/>
      <c r="K716" s="278">
        <f t="shared" si="198"/>
        <v>118.5</v>
      </c>
      <c r="L716" s="281">
        <v>66</v>
      </c>
      <c r="X716" s="137">
        <f t="shared" si="196"/>
        <v>118.5</v>
      </c>
      <c r="Y716" s="137">
        <f>66+10+16+36/2</f>
        <v>110</v>
      </c>
      <c r="Z716" s="137">
        <f>66+10+19+16/2</f>
        <v>103</v>
      </c>
      <c r="AA716" s="137">
        <f>66+10+19+52/2</f>
        <v>121</v>
      </c>
    </row>
    <row r="717" spans="1:27" ht="45" customHeight="1">
      <c r="A717" s="62" t="s">
        <v>339</v>
      </c>
      <c r="B717" s="677"/>
      <c r="C717" s="276">
        <v>10.1</v>
      </c>
      <c r="D717" s="57">
        <v>319</v>
      </c>
      <c r="E717" s="277">
        <v>2603</v>
      </c>
      <c r="F717" s="278">
        <v>0</v>
      </c>
      <c r="G717" s="212">
        <f t="shared" si="194"/>
        <v>23.258648962958429</v>
      </c>
      <c r="H717" s="278">
        <f t="shared" si="197"/>
        <v>139.5</v>
      </c>
      <c r="I717" s="279">
        <f t="shared" si="195"/>
        <v>4.2725432285353833</v>
      </c>
      <c r="J717" s="280"/>
      <c r="K717" s="278">
        <f t="shared" si="198"/>
        <v>139.5</v>
      </c>
      <c r="L717" s="281">
        <v>87</v>
      </c>
      <c r="X717" s="137">
        <f t="shared" si="196"/>
        <v>139.5</v>
      </c>
      <c r="Y717" s="137">
        <f>87+10+16+36/2</f>
        <v>131</v>
      </c>
      <c r="Z717" s="137">
        <f>87+10+19+16/2</f>
        <v>124</v>
      </c>
      <c r="AA717" s="137">
        <f>87+10+19+52/2</f>
        <v>142</v>
      </c>
    </row>
    <row r="718" spans="1:27" ht="45" customHeight="1">
      <c r="A718" s="62" t="s">
        <v>340</v>
      </c>
      <c r="B718" s="677"/>
      <c r="C718" s="276">
        <v>13.7</v>
      </c>
      <c r="D718" s="57">
        <v>486</v>
      </c>
      <c r="E718" s="277">
        <v>4918</v>
      </c>
      <c r="F718" s="278">
        <v>0</v>
      </c>
      <c r="G718" s="212">
        <f t="shared" si="194"/>
        <v>31.548860474507968</v>
      </c>
      <c r="H718" s="278">
        <f t="shared" si="197"/>
        <v>162.5</v>
      </c>
      <c r="I718" s="279">
        <f t="shared" si="195"/>
        <v>5.6346405643713657</v>
      </c>
      <c r="J718" s="280"/>
      <c r="K718" s="278">
        <f t="shared" si="198"/>
        <v>162.5</v>
      </c>
      <c r="L718" s="281">
        <v>110</v>
      </c>
      <c r="X718" s="137">
        <f>48/2+16+10+L718</f>
        <v>160</v>
      </c>
      <c r="Y718" s="137">
        <f>110+10+16+36/2</f>
        <v>154</v>
      </c>
      <c r="Z718" s="137">
        <f>110+10+19+16/2</f>
        <v>147</v>
      </c>
      <c r="AA718" s="137">
        <f>110+10+19+52/2</f>
        <v>165</v>
      </c>
    </row>
    <row r="719" spans="1:27" ht="45" customHeight="1">
      <c r="A719" s="62" t="s">
        <v>341</v>
      </c>
      <c r="B719" s="677"/>
      <c r="C719" s="276">
        <v>13.7</v>
      </c>
      <c r="D719" s="57">
        <v>486</v>
      </c>
      <c r="E719" s="277">
        <v>4918</v>
      </c>
      <c r="F719" s="278">
        <v>0</v>
      </c>
      <c r="G719" s="212">
        <f t="shared" si="194"/>
        <v>31.548860474507968</v>
      </c>
      <c r="H719" s="278">
        <f t="shared" si="197"/>
        <v>182.5</v>
      </c>
      <c r="I719" s="279">
        <f t="shared" si="195"/>
        <v>5.1169638723882258</v>
      </c>
      <c r="J719" s="280"/>
      <c r="K719" s="278">
        <f t="shared" si="198"/>
        <v>182.5</v>
      </c>
      <c r="L719" s="281">
        <v>130</v>
      </c>
      <c r="X719" s="137">
        <f t="shared" si="196"/>
        <v>182.5</v>
      </c>
      <c r="Y719" s="139">
        <f>36/2+16+10+130</f>
        <v>174</v>
      </c>
      <c r="Z719" s="139">
        <f>16/2+19+10+130</f>
        <v>167</v>
      </c>
      <c r="AA719" s="139">
        <f>52/2+19+10+130</f>
        <v>185</v>
      </c>
    </row>
    <row r="720" spans="1:27" ht="45" customHeight="1">
      <c r="A720" s="62" t="s">
        <v>342</v>
      </c>
      <c r="B720" s="678"/>
      <c r="C720" s="276">
        <v>13.7</v>
      </c>
      <c r="D720" s="57">
        <v>486</v>
      </c>
      <c r="E720" s="277">
        <v>4918</v>
      </c>
      <c r="F720" s="278">
        <v>0</v>
      </c>
      <c r="G720" s="212">
        <f t="shared" si="194"/>
        <v>31.548860474507968</v>
      </c>
      <c r="H720" s="278">
        <f t="shared" si="197"/>
        <v>202.5</v>
      </c>
      <c r="I720" s="279">
        <f t="shared" si="195"/>
        <v>4.6863960027681477</v>
      </c>
      <c r="J720" s="280"/>
      <c r="K720" s="278">
        <f t="shared" si="198"/>
        <v>202.5</v>
      </c>
      <c r="L720" s="281">
        <v>150</v>
      </c>
      <c r="X720" s="137">
        <f t="shared" si="196"/>
        <v>202.5</v>
      </c>
      <c r="Y720" s="139">
        <f>36/2+16+10+150</f>
        <v>194</v>
      </c>
      <c r="Z720" s="139">
        <f>16/2+19+10+150</f>
        <v>187</v>
      </c>
      <c r="AA720" s="139">
        <f>52/2+19+10+150</f>
        <v>205</v>
      </c>
    </row>
    <row r="723" spans="1:12" ht="18">
      <c r="A723" s="3" t="s">
        <v>2</v>
      </c>
      <c r="B723" s="4" t="s">
        <v>41</v>
      </c>
      <c r="C723" s="4" t="s">
        <v>9</v>
      </c>
      <c r="D723" s="4" t="s">
        <v>42</v>
      </c>
      <c r="E723" s="4" t="s">
        <v>66</v>
      </c>
      <c r="F723" s="4" t="s">
        <v>67</v>
      </c>
      <c r="G723" s="4" t="s">
        <v>41</v>
      </c>
      <c r="H723" s="4" t="s">
        <v>9</v>
      </c>
      <c r="I723" s="4" t="s">
        <v>42</v>
      </c>
      <c r="J723" s="4" t="s">
        <v>66</v>
      </c>
      <c r="K723" s="4" t="s">
        <v>67</v>
      </c>
      <c r="L723" s="4" t="s">
        <v>181</v>
      </c>
    </row>
    <row r="724" spans="1:12">
      <c r="A724" s="7"/>
      <c r="B724" s="8" t="s">
        <v>19</v>
      </c>
      <c r="C724" s="8" t="s">
        <v>18</v>
      </c>
      <c r="D724" s="8" t="s">
        <v>18</v>
      </c>
      <c r="E724" s="8" t="s">
        <v>17</v>
      </c>
      <c r="F724" s="8" t="s">
        <v>17</v>
      </c>
      <c r="G724" s="8" t="s">
        <v>19</v>
      </c>
      <c r="H724" s="8" t="s">
        <v>18</v>
      </c>
      <c r="I724" s="8" t="s">
        <v>18</v>
      </c>
      <c r="J724" s="8" t="s">
        <v>17</v>
      </c>
      <c r="K724" s="8" t="s">
        <v>17</v>
      </c>
      <c r="L724" s="56" t="s">
        <v>17</v>
      </c>
    </row>
    <row r="725" spans="1:12" ht="45">
      <c r="A725" s="62" t="s">
        <v>330</v>
      </c>
      <c r="B725" s="57">
        <v>1</v>
      </c>
      <c r="C725" s="57">
        <v>8</v>
      </c>
      <c r="D725" s="212">
        <v>35</v>
      </c>
      <c r="E725" s="58">
        <f>(0.52*SQRT($C725)*D725^0.9*$B$678^0.8)/1000</f>
        <v>4.2225826668958426</v>
      </c>
      <c r="F725" s="58">
        <f t="shared" ref="F725:F739" si="199">MIN(2.3*SQRT($B$679*$B$682*$B$680)/1000+(E725/4),$B$682*$B$680*D725/1000,$B$682*$B$680*D725/1000*(SQRT(2+4*$B$679/($B$682*$B$680*D725^2))-1)+E725/4)</f>
        <v>3.5389546758165444</v>
      </c>
      <c r="G725" s="57">
        <v>2</v>
      </c>
      <c r="H725" s="57">
        <v>5</v>
      </c>
      <c r="I725" s="212">
        <v>45</v>
      </c>
      <c r="J725" s="679" t="s">
        <v>166</v>
      </c>
      <c r="K725" s="680"/>
      <c r="L725" s="681"/>
    </row>
    <row r="726" spans="1:12" ht="45">
      <c r="A726" s="62" t="s">
        <v>334</v>
      </c>
      <c r="B726" s="57">
        <v>2</v>
      </c>
      <c r="C726" s="57">
        <v>8</v>
      </c>
      <c r="D726" s="212">
        <v>35</v>
      </c>
      <c r="E726" s="58">
        <f t="shared" ref="E726:E739" si="200">(0.52*SQRT($C726)*D726^0.9*$B$678^0.8)/1000</f>
        <v>4.2225826668958426</v>
      </c>
      <c r="F726" s="58">
        <f t="shared" si="199"/>
        <v>3.5389546758165444</v>
      </c>
      <c r="G726" s="57">
        <v>2</v>
      </c>
      <c r="H726" s="57">
        <v>5</v>
      </c>
      <c r="I726" s="212">
        <v>45</v>
      </c>
      <c r="J726" s="682"/>
      <c r="K726" s="683"/>
      <c r="L726" s="684"/>
    </row>
    <row r="727" spans="1:12" ht="45">
      <c r="A727" s="62" t="s">
        <v>331</v>
      </c>
      <c r="B727" s="57">
        <v>2</v>
      </c>
      <c r="C727" s="57">
        <v>8</v>
      </c>
      <c r="D727" s="212">
        <v>35</v>
      </c>
      <c r="E727" s="58">
        <f t="shared" si="200"/>
        <v>4.2225826668958426</v>
      </c>
      <c r="F727" s="58">
        <f t="shared" si="199"/>
        <v>3.5389546758165444</v>
      </c>
      <c r="G727" s="57">
        <v>4</v>
      </c>
      <c r="H727" s="57">
        <v>5</v>
      </c>
      <c r="I727" s="212">
        <v>45</v>
      </c>
      <c r="J727" s="682"/>
      <c r="K727" s="683"/>
      <c r="L727" s="684"/>
    </row>
    <row r="728" spans="1:12" ht="45">
      <c r="A728" s="62" t="s">
        <v>333</v>
      </c>
      <c r="B728" s="57">
        <v>2</v>
      </c>
      <c r="C728" s="57">
        <v>8</v>
      </c>
      <c r="D728" s="212">
        <v>35</v>
      </c>
      <c r="E728" s="58">
        <f t="shared" si="200"/>
        <v>4.2225826668958426</v>
      </c>
      <c r="F728" s="58">
        <f t="shared" si="199"/>
        <v>3.5389546758165444</v>
      </c>
      <c r="G728" s="57">
        <v>6</v>
      </c>
      <c r="H728" s="57">
        <v>5</v>
      </c>
      <c r="I728" s="212">
        <v>45</v>
      </c>
      <c r="J728" s="682"/>
      <c r="K728" s="683"/>
      <c r="L728" s="684"/>
    </row>
    <row r="729" spans="1:12" ht="45">
      <c r="A729" s="62" t="s">
        <v>332</v>
      </c>
      <c r="B729" s="57">
        <v>2</v>
      </c>
      <c r="C729" s="57">
        <v>8</v>
      </c>
      <c r="D729" s="212">
        <v>35</v>
      </c>
      <c r="E729" s="58">
        <f t="shared" si="200"/>
        <v>4.2225826668958426</v>
      </c>
      <c r="F729" s="58">
        <f t="shared" si="199"/>
        <v>3.5389546758165444</v>
      </c>
      <c r="G729" s="57">
        <v>8</v>
      </c>
      <c r="H729" s="57">
        <v>5</v>
      </c>
      <c r="I729" s="212">
        <v>45</v>
      </c>
      <c r="J729" s="682"/>
      <c r="K729" s="683"/>
      <c r="L729" s="684"/>
    </row>
    <row r="730" spans="1:12" ht="45">
      <c r="A730" s="62" t="s">
        <v>335</v>
      </c>
      <c r="B730" s="57">
        <v>2</v>
      </c>
      <c r="C730" s="57">
        <v>8</v>
      </c>
      <c r="D730" s="212">
        <v>35</v>
      </c>
      <c r="E730" s="58">
        <f t="shared" si="200"/>
        <v>4.2225826668958426</v>
      </c>
      <c r="F730" s="58">
        <f t="shared" si="199"/>
        <v>3.5389546758165444</v>
      </c>
      <c r="G730" s="57">
        <v>10</v>
      </c>
      <c r="H730" s="57">
        <v>5</v>
      </c>
      <c r="I730" s="212">
        <v>45</v>
      </c>
      <c r="J730" s="682"/>
      <c r="K730" s="683"/>
      <c r="L730" s="684"/>
    </row>
    <row r="731" spans="1:12" ht="45">
      <c r="A731" s="256" t="s">
        <v>738</v>
      </c>
      <c r="B731" s="57">
        <v>2</v>
      </c>
      <c r="C731" s="57">
        <v>8</v>
      </c>
      <c r="D731" s="212">
        <v>35</v>
      </c>
      <c r="E731" s="58">
        <f t="shared" si="200"/>
        <v>4.2225826668958426</v>
      </c>
      <c r="F731" s="58">
        <f t="shared" si="199"/>
        <v>3.5389546758165444</v>
      </c>
      <c r="G731" s="57">
        <v>4</v>
      </c>
      <c r="H731" s="57">
        <v>5</v>
      </c>
      <c r="I731" s="212">
        <v>45</v>
      </c>
      <c r="J731" s="682"/>
      <c r="K731" s="683"/>
      <c r="L731" s="684"/>
    </row>
    <row r="732" spans="1:12" ht="45">
      <c r="A732" s="256" t="s">
        <v>727</v>
      </c>
      <c r="B732" s="57">
        <v>2</v>
      </c>
      <c r="C732" s="57">
        <v>8</v>
      </c>
      <c r="D732" s="212">
        <v>35</v>
      </c>
      <c r="E732" s="58">
        <f t="shared" ref="E732" si="201">(0.52*SQRT($C732)*D732^0.9*$B$678^0.8)/1000</f>
        <v>4.2225826668958426</v>
      </c>
      <c r="F732" s="58">
        <f t="shared" ref="F732" si="202">MIN(2.3*SQRT($B$679*$B$682*$B$680)/1000+(E732/4),$B$682*$B$680*D732/1000,$B$682*$B$680*D732/1000*(SQRT(2+4*$B$679/($B$682*$B$680*D732^2))-1)+E732/4)</f>
        <v>3.5389546758165444</v>
      </c>
      <c r="G732" s="57">
        <v>6</v>
      </c>
      <c r="H732" s="57">
        <v>5</v>
      </c>
      <c r="I732" s="212">
        <v>45</v>
      </c>
      <c r="J732" s="682"/>
      <c r="K732" s="683"/>
      <c r="L732" s="684"/>
    </row>
    <row r="733" spans="1:12" ht="45">
      <c r="A733" s="256" t="s">
        <v>336</v>
      </c>
      <c r="B733" s="57">
        <v>2</v>
      </c>
      <c r="C733" s="57">
        <v>8</v>
      </c>
      <c r="D733" s="212">
        <v>35</v>
      </c>
      <c r="E733" s="58">
        <v>4.2225826668958426</v>
      </c>
      <c r="F733" s="58">
        <v>3.5389546758165444</v>
      </c>
      <c r="G733" s="57">
        <v>8</v>
      </c>
      <c r="H733" s="57">
        <v>5</v>
      </c>
      <c r="I733" s="212">
        <v>45</v>
      </c>
      <c r="J733" s="682"/>
      <c r="K733" s="683"/>
      <c r="L733" s="684"/>
    </row>
    <row r="734" spans="1:12" ht="45">
      <c r="A734" s="256" t="s">
        <v>337</v>
      </c>
      <c r="B734" s="57">
        <v>2</v>
      </c>
      <c r="C734" s="57">
        <v>8</v>
      </c>
      <c r="D734" s="212">
        <v>35</v>
      </c>
      <c r="E734" s="58">
        <v>4.2225826668958426</v>
      </c>
      <c r="F734" s="58">
        <v>3.5389546758165444</v>
      </c>
      <c r="G734" s="57">
        <v>10</v>
      </c>
      <c r="H734" s="57">
        <v>5</v>
      </c>
      <c r="I734" s="212">
        <v>45</v>
      </c>
      <c r="J734" s="682"/>
      <c r="K734" s="683"/>
      <c r="L734" s="684"/>
    </row>
    <row r="735" spans="1:12" ht="45">
      <c r="A735" s="62" t="s">
        <v>338</v>
      </c>
      <c r="B735" s="57">
        <v>3</v>
      </c>
      <c r="C735" s="57">
        <v>8</v>
      </c>
      <c r="D735" s="212">
        <v>35</v>
      </c>
      <c r="E735" s="58">
        <f t="shared" si="200"/>
        <v>4.2225826668958426</v>
      </c>
      <c r="F735" s="58">
        <f t="shared" si="199"/>
        <v>3.5389546758165444</v>
      </c>
      <c r="G735" s="57">
        <v>4</v>
      </c>
      <c r="H735" s="57">
        <v>5</v>
      </c>
      <c r="I735" s="212">
        <v>45</v>
      </c>
      <c r="J735" s="682"/>
      <c r="K735" s="683"/>
      <c r="L735" s="684"/>
    </row>
    <row r="736" spans="1:12" ht="45">
      <c r="A736" s="62" t="s">
        <v>339</v>
      </c>
      <c r="B736" s="57">
        <v>3</v>
      </c>
      <c r="C736" s="57">
        <v>8</v>
      </c>
      <c r="D736" s="212">
        <v>35</v>
      </c>
      <c r="E736" s="58">
        <f t="shared" si="200"/>
        <v>4.2225826668958426</v>
      </c>
      <c r="F736" s="58">
        <f t="shared" si="199"/>
        <v>3.5389546758165444</v>
      </c>
      <c r="G736" s="57">
        <v>8</v>
      </c>
      <c r="H736" s="57">
        <v>5</v>
      </c>
      <c r="I736" s="212">
        <v>45</v>
      </c>
      <c r="J736" s="682"/>
      <c r="K736" s="683"/>
      <c r="L736" s="684"/>
    </row>
    <row r="737" spans="1:27" ht="45">
      <c r="A737" s="62" t="s">
        <v>340</v>
      </c>
      <c r="B737" s="57">
        <v>3</v>
      </c>
      <c r="C737" s="57">
        <v>8</v>
      </c>
      <c r="D737" s="212">
        <v>35</v>
      </c>
      <c r="E737" s="58">
        <f t="shared" si="200"/>
        <v>4.2225826668958426</v>
      </c>
      <c r="F737" s="58">
        <f t="shared" si="199"/>
        <v>3.5389546758165444</v>
      </c>
      <c r="G737" s="57">
        <v>12</v>
      </c>
      <c r="H737" s="57">
        <v>5</v>
      </c>
      <c r="I737" s="212">
        <v>45</v>
      </c>
      <c r="J737" s="682"/>
      <c r="K737" s="683"/>
      <c r="L737" s="684"/>
      <c r="P737"/>
      <c r="Q737"/>
    </row>
    <row r="738" spans="1:27" ht="45">
      <c r="A738" s="62" t="s">
        <v>341</v>
      </c>
      <c r="B738" s="57">
        <v>3</v>
      </c>
      <c r="C738" s="57">
        <v>8</v>
      </c>
      <c r="D738" s="212">
        <v>35</v>
      </c>
      <c r="E738" s="58">
        <f t="shared" si="200"/>
        <v>4.2225826668958426</v>
      </c>
      <c r="F738" s="58">
        <f t="shared" si="199"/>
        <v>3.5389546758165444</v>
      </c>
      <c r="G738" s="57">
        <v>16</v>
      </c>
      <c r="H738" s="57">
        <v>5</v>
      </c>
      <c r="I738" s="212">
        <v>45</v>
      </c>
      <c r="J738" s="682"/>
      <c r="K738" s="683"/>
      <c r="L738" s="684"/>
    </row>
    <row r="739" spans="1:27" ht="45">
      <c r="A739" s="62" t="s">
        <v>342</v>
      </c>
      <c r="B739" s="57">
        <v>3</v>
      </c>
      <c r="C739" s="57">
        <v>8</v>
      </c>
      <c r="D739" s="212">
        <v>35</v>
      </c>
      <c r="E739" s="58">
        <f t="shared" si="200"/>
        <v>4.2225826668958426</v>
      </c>
      <c r="F739" s="58">
        <f t="shared" si="199"/>
        <v>3.5389546758165444</v>
      </c>
      <c r="G739" s="57">
        <v>20</v>
      </c>
      <c r="H739" s="57">
        <v>5</v>
      </c>
      <c r="I739" s="212">
        <v>45</v>
      </c>
      <c r="J739" s="685"/>
      <c r="K739" s="686"/>
      <c r="L739" s="687"/>
    </row>
    <row r="740" spans="1:27">
      <c r="X740" t="s">
        <v>167</v>
      </c>
      <c r="Y740" t="s">
        <v>168</v>
      </c>
      <c r="Z740" s="2" t="s">
        <v>169</v>
      </c>
      <c r="AA740" s="2" t="s">
        <v>170</v>
      </c>
    </row>
    <row r="741" spans="1:27">
      <c r="X741" t="s">
        <v>182</v>
      </c>
      <c r="Y741" t="s">
        <v>182</v>
      </c>
      <c r="Z741" s="2" t="s">
        <v>183</v>
      </c>
      <c r="AA741" s="2" t="s">
        <v>183</v>
      </c>
    </row>
    <row r="742" spans="1:27" ht="18">
      <c r="A742" s="3" t="s">
        <v>2</v>
      </c>
      <c r="B742" s="4" t="s">
        <v>181</v>
      </c>
      <c r="C742" s="4" t="s">
        <v>184</v>
      </c>
      <c r="D742" s="4" t="s">
        <v>150</v>
      </c>
      <c r="E742" s="4" t="s">
        <v>155</v>
      </c>
      <c r="F742" s="4" t="s">
        <v>175</v>
      </c>
      <c r="G742" s="4" t="s">
        <v>156</v>
      </c>
      <c r="H742" s="4" t="s">
        <v>157</v>
      </c>
      <c r="I742" s="4" t="s">
        <v>185</v>
      </c>
      <c r="J742" s="4" t="s">
        <v>180</v>
      </c>
      <c r="K742" s="4" t="s">
        <v>186</v>
      </c>
      <c r="X742" t="s">
        <v>171</v>
      </c>
      <c r="Y742" t="s">
        <v>172</v>
      </c>
      <c r="Z742" t="s">
        <v>173</v>
      </c>
      <c r="AA742" t="s">
        <v>174</v>
      </c>
    </row>
    <row r="743" spans="1:27" ht="18">
      <c r="A743" s="7"/>
      <c r="B743" s="56" t="s">
        <v>17</v>
      </c>
      <c r="C743" s="8" t="s">
        <v>17</v>
      </c>
      <c r="D743" s="8" t="s">
        <v>19</v>
      </c>
      <c r="E743" s="8" t="s">
        <v>75</v>
      </c>
      <c r="F743" s="8" t="s">
        <v>75</v>
      </c>
      <c r="G743" s="8" t="s">
        <v>75</v>
      </c>
      <c r="H743" s="8" t="s">
        <v>18</v>
      </c>
      <c r="I743" s="8" t="s">
        <v>17</v>
      </c>
      <c r="J743" s="8" t="s">
        <v>18</v>
      </c>
      <c r="K743" s="8" t="s">
        <v>17</v>
      </c>
      <c r="X743" s="4" t="s">
        <v>177</v>
      </c>
      <c r="Y743" s="4" t="s">
        <v>180</v>
      </c>
      <c r="Z743" s="4" t="s">
        <v>180</v>
      </c>
      <c r="AA743" s="4" t="s">
        <v>180</v>
      </c>
    </row>
    <row r="744" spans="1:27" ht="47.25" customHeight="1">
      <c r="A744" s="62" t="s">
        <v>330</v>
      </c>
      <c r="B744" s="697" t="s">
        <v>166</v>
      </c>
      <c r="C744" s="698"/>
      <c r="D744" s="276">
        <v>2.8</v>
      </c>
      <c r="E744" s="57">
        <v>29</v>
      </c>
      <c r="F744" s="277">
        <v>43</v>
      </c>
      <c r="G744" s="78">
        <v>7.28</v>
      </c>
      <c r="H744" s="278">
        <v>0</v>
      </c>
      <c r="I744" s="215">
        <f t="shared" ref="I744:I758" si="203">$F725/SQRT((1/$D744+H744/$E744)^2+(H744/$F744)^2+(F725/(G744*E725))^2)</f>
        <v>9.4311941603363891</v>
      </c>
      <c r="J744" s="278">
        <f t="shared" ref="J744:J758" si="204">K706</f>
        <v>73.5</v>
      </c>
      <c r="K744" s="212">
        <f t="shared" ref="K744:K758" si="205">$F725/SQRT((1/$D744+J744/$E744)^2+(J744/$F744)^2+(F725/(G744*E725))^2)</f>
        <v>1.0529401549478103</v>
      </c>
      <c r="X744" s="8" t="s">
        <v>18</v>
      </c>
      <c r="Y744" s="8" t="s">
        <v>18</v>
      </c>
      <c r="Z744" s="8" t="s">
        <v>18</v>
      </c>
      <c r="AA744" s="8" t="s">
        <v>18</v>
      </c>
    </row>
    <row r="745" spans="1:27" ht="45">
      <c r="A745" s="62" t="s">
        <v>334</v>
      </c>
      <c r="B745" s="699"/>
      <c r="C745" s="700"/>
      <c r="D745" s="276">
        <v>3.8</v>
      </c>
      <c r="E745" s="57">
        <v>42</v>
      </c>
      <c r="F745" s="277">
        <v>81</v>
      </c>
      <c r="G745" s="78">
        <v>8.61</v>
      </c>
      <c r="H745" s="278">
        <v>0</v>
      </c>
      <c r="I745" s="215">
        <f t="shared" si="203"/>
        <v>12.612827162714847</v>
      </c>
      <c r="J745" s="278">
        <f t="shared" si="204"/>
        <v>83.5</v>
      </c>
      <c r="K745" s="212">
        <f t="shared" si="205"/>
        <v>1.4281713519797015</v>
      </c>
      <c r="X745" s="137">
        <v>73</v>
      </c>
      <c r="Y745" s="137">
        <f>21+10+16+36/2</f>
        <v>65</v>
      </c>
      <c r="Z745" s="137">
        <f>21+10+19+16/2</f>
        <v>58</v>
      </c>
      <c r="AA745" s="137">
        <f>21+10+19+52/2</f>
        <v>76</v>
      </c>
    </row>
    <row r="746" spans="1:27" ht="45">
      <c r="A746" s="62" t="s">
        <v>331</v>
      </c>
      <c r="B746" s="699"/>
      <c r="C746" s="700"/>
      <c r="D746" s="276">
        <v>5.6</v>
      </c>
      <c r="E746" s="57">
        <v>72</v>
      </c>
      <c r="F746" s="277">
        <v>212</v>
      </c>
      <c r="G746" s="78">
        <v>14.6</v>
      </c>
      <c r="H746" s="278">
        <v>0</v>
      </c>
      <c r="I746" s="215">
        <f t="shared" si="203"/>
        <v>18.867247809428463</v>
      </c>
      <c r="J746" s="278">
        <f t="shared" si="204"/>
        <v>93.5</v>
      </c>
      <c r="K746" s="212">
        <f t="shared" si="205"/>
        <v>2.2940224981557469</v>
      </c>
      <c r="X746" s="137">
        <v>83</v>
      </c>
      <c r="Y746" s="137">
        <f>31+10+16+36/2</f>
        <v>75</v>
      </c>
      <c r="Z746" s="137">
        <f>31+10+19+16/2</f>
        <v>68</v>
      </c>
      <c r="AA746" s="137">
        <f>31+10+19+52/2</f>
        <v>86</v>
      </c>
    </row>
    <row r="747" spans="1:27" ht="45">
      <c r="A747" s="62" t="s">
        <v>333</v>
      </c>
      <c r="B747" s="699"/>
      <c r="C747" s="700"/>
      <c r="D747" s="276">
        <v>7.3</v>
      </c>
      <c r="E747" s="57">
        <v>109</v>
      </c>
      <c r="F747" s="277">
        <v>433</v>
      </c>
      <c r="G747" s="78">
        <v>20.5</v>
      </c>
      <c r="H747" s="278">
        <v>0</v>
      </c>
      <c r="I747" s="215">
        <f t="shared" si="203"/>
        <v>24.755400336061037</v>
      </c>
      <c r="J747" s="278">
        <f t="shared" si="204"/>
        <v>103.5</v>
      </c>
      <c r="K747" s="212">
        <f t="shared" si="205"/>
        <v>3.1789097314502079</v>
      </c>
      <c r="X747" s="137">
        <v>93</v>
      </c>
      <c r="Y747" s="137">
        <f>41+10+16+36/2</f>
        <v>85</v>
      </c>
      <c r="Z747" s="137">
        <f>41+10+19+16/2</f>
        <v>78</v>
      </c>
      <c r="AA747" s="137">
        <f>41+10+19+52/2</f>
        <v>96</v>
      </c>
    </row>
    <row r="748" spans="1:27" ht="45">
      <c r="A748" s="62" t="s">
        <v>332</v>
      </c>
      <c r="B748" s="699"/>
      <c r="C748" s="700"/>
      <c r="D748" s="276">
        <v>9.1</v>
      </c>
      <c r="E748" s="57">
        <v>154</v>
      </c>
      <c r="F748" s="277">
        <v>767</v>
      </c>
      <c r="G748" s="78">
        <v>26.4</v>
      </c>
      <c r="H748" s="278">
        <v>0</v>
      </c>
      <c r="I748" s="215">
        <f t="shared" si="203"/>
        <v>30.939288915885378</v>
      </c>
      <c r="J748" s="278">
        <f t="shared" si="204"/>
        <v>113.5</v>
      </c>
      <c r="K748" s="212">
        <f t="shared" si="205"/>
        <v>4.1135329443476287</v>
      </c>
      <c r="X748" s="137">
        <v>103</v>
      </c>
      <c r="Y748" s="137">
        <f>51+10+16+36/2</f>
        <v>95</v>
      </c>
      <c r="Z748" s="137">
        <f>51+10+19+16/2</f>
        <v>88</v>
      </c>
      <c r="AA748" s="137">
        <f>51+10+19+52/2</f>
        <v>106</v>
      </c>
    </row>
    <row r="749" spans="1:27" ht="45">
      <c r="A749" s="62" t="s">
        <v>335</v>
      </c>
      <c r="B749" s="699"/>
      <c r="C749" s="700"/>
      <c r="D749" s="276">
        <v>10.9</v>
      </c>
      <c r="E749" s="57">
        <v>208</v>
      </c>
      <c r="F749" s="277">
        <v>1241</v>
      </c>
      <c r="G749" s="78">
        <v>32.4</v>
      </c>
      <c r="H749" s="278">
        <v>0</v>
      </c>
      <c r="I749" s="215">
        <f t="shared" si="203"/>
        <v>37.127060080507114</v>
      </c>
      <c r="J749" s="278">
        <f t="shared" si="204"/>
        <v>123.5</v>
      </c>
      <c r="K749" s="212">
        <f t="shared" si="205"/>
        <v>5.1055236549138909</v>
      </c>
      <c r="X749" s="137">
        <v>113</v>
      </c>
      <c r="Y749" s="137">
        <f>61+10+16+36/2</f>
        <v>105</v>
      </c>
      <c r="Z749" s="137">
        <f>61+10+19+16/2</f>
        <v>98</v>
      </c>
      <c r="AA749" s="137">
        <f>61+10+19+52/2</f>
        <v>116</v>
      </c>
    </row>
    <row r="750" spans="1:27" ht="45">
      <c r="A750" s="256" t="s">
        <v>738</v>
      </c>
      <c r="B750" s="699"/>
      <c r="C750" s="700"/>
      <c r="D750" s="276">
        <v>5.6</v>
      </c>
      <c r="E750" s="57">
        <v>72</v>
      </c>
      <c r="F750" s="277">
        <v>212</v>
      </c>
      <c r="G750" s="78">
        <v>14.6</v>
      </c>
      <c r="H750" s="278">
        <v>0</v>
      </c>
      <c r="I750" s="215">
        <f t="shared" si="203"/>
        <v>18.867247809428463</v>
      </c>
      <c r="J750" s="278">
        <f t="shared" si="204"/>
        <v>93.5</v>
      </c>
      <c r="K750" s="212">
        <f t="shared" si="205"/>
        <v>2.2940224981557469</v>
      </c>
      <c r="X750" s="137"/>
      <c r="Y750" s="137"/>
      <c r="Z750" s="137"/>
      <c r="AA750" s="137"/>
    </row>
    <row r="751" spans="1:27" ht="45">
      <c r="A751" s="256" t="s">
        <v>727</v>
      </c>
      <c r="B751" s="699"/>
      <c r="C751" s="700"/>
      <c r="D751" s="276">
        <v>7.3</v>
      </c>
      <c r="E751" s="57">
        <v>109</v>
      </c>
      <c r="F751" s="277">
        <v>433</v>
      </c>
      <c r="G751" s="78">
        <v>20.5</v>
      </c>
      <c r="H751" s="278">
        <v>0</v>
      </c>
      <c r="I751" s="215">
        <f t="shared" si="203"/>
        <v>24.755400336061037</v>
      </c>
      <c r="J751" s="278">
        <f t="shared" si="204"/>
        <v>103.5</v>
      </c>
      <c r="K751" s="212">
        <f t="shared" si="205"/>
        <v>3.1789097314502079</v>
      </c>
      <c r="X751" s="137"/>
      <c r="Y751" s="137"/>
      <c r="Z751" s="137"/>
      <c r="AA751" s="137"/>
    </row>
    <row r="752" spans="1:27" ht="45">
      <c r="A752" s="256" t="s">
        <v>336</v>
      </c>
      <c r="B752" s="699"/>
      <c r="C752" s="700"/>
      <c r="D752" s="276">
        <v>9.1</v>
      </c>
      <c r="E752" s="57">
        <v>154</v>
      </c>
      <c r="F752" s="277">
        <v>767</v>
      </c>
      <c r="G752" s="78">
        <v>26.4</v>
      </c>
      <c r="H752" s="278">
        <v>0</v>
      </c>
      <c r="I752" s="215">
        <f t="shared" si="203"/>
        <v>30.939288915885378</v>
      </c>
      <c r="J752" s="278">
        <f t="shared" si="204"/>
        <v>113.5</v>
      </c>
      <c r="K752" s="212">
        <f t="shared" si="205"/>
        <v>4.1135329443476287</v>
      </c>
      <c r="X752" s="137">
        <v>103</v>
      </c>
      <c r="Y752" s="137">
        <f>51+10+16+36/2</f>
        <v>95</v>
      </c>
      <c r="Z752" s="137">
        <f>51+10+19+16/2</f>
        <v>88</v>
      </c>
      <c r="AA752" s="137">
        <f>51+10+19+52/2</f>
        <v>106</v>
      </c>
    </row>
    <row r="753" spans="1:27" ht="45">
      <c r="A753" s="256" t="s">
        <v>337</v>
      </c>
      <c r="B753" s="699"/>
      <c r="C753" s="700"/>
      <c r="D753" s="276">
        <v>10.9</v>
      </c>
      <c r="E753" s="57">
        <v>208</v>
      </c>
      <c r="F753" s="277">
        <v>1241</v>
      </c>
      <c r="G753" s="78">
        <v>32.4</v>
      </c>
      <c r="H753" s="278">
        <v>0</v>
      </c>
      <c r="I753" s="215">
        <f t="shared" si="203"/>
        <v>37.127060080507114</v>
      </c>
      <c r="J753" s="278">
        <f t="shared" si="204"/>
        <v>123.5</v>
      </c>
      <c r="K753" s="212">
        <f t="shared" si="205"/>
        <v>5.1055236549138909</v>
      </c>
      <c r="X753" s="137">
        <v>113</v>
      </c>
      <c r="Y753" s="137">
        <f>61+10+16+36/2</f>
        <v>105</v>
      </c>
      <c r="Z753" s="137">
        <f>61+10+19+16/2</f>
        <v>98</v>
      </c>
      <c r="AA753" s="137">
        <f>61+10+19+52/2</f>
        <v>116</v>
      </c>
    </row>
    <row r="754" spans="1:27" ht="45">
      <c r="A754" s="62" t="s">
        <v>338</v>
      </c>
      <c r="B754" s="699"/>
      <c r="C754" s="700"/>
      <c r="D754" s="276">
        <v>6.6</v>
      </c>
      <c r="E754" s="57">
        <v>182</v>
      </c>
      <c r="F754" s="277">
        <v>1140</v>
      </c>
      <c r="G754" s="78">
        <v>15.9</v>
      </c>
      <c r="H754" s="278">
        <v>0</v>
      </c>
      <c r="I754" s="215">
        <f t="shared" si="203"/>
        <v>22.060260066839945</v>
      </c>
      <c r="J754" s="278">
        <f t="shared" si="204"/>
        <v>118.5</v>
      </c>
      <c r="K754" s="212">
        <f t="shared" si="205"/>
        <v>4.3635207379614211</v>
      </c>
      <c r="X754" s="137">
        <v>123</v>
      </c>
      <c r="Y754" s="137">
        <f>71+10+16+36/2</f>
        <v>115</v>
      </c>
      <c r="Z754" s="137">
        <f>71+10+19+16/2</f>
        <v>108</v>
      </c>
      <c r="AA754" s="137">
        <f>71+10+19+52/2</f>
        <v>126</v>
      </c>
    </row>
    <row r="755" spans="1:27" ht="50.25" customHeight="1">
      <c r="A755" s="62" t="s">
        <v>339</v>
      </c>
      <c r="B755" s="699"/>
      <c r="C755" s="700"/>
      <c r="D755" s="276">
        <v>10.1</v>
      </c>
      <c r="E755" s="57">
        <v>319</v>
      </c>
      <c r="F755" s="277">
        <v>2603</v>
      </c>
      <c r="G755" s="78">
        <v>27.8</v>
      </c>
      <c r="H755" s="278">
        <v>0</v>
      </c>
      <c r="I755" s="215">
        <f t="shared" si="203"/>
        <v>34.193460589897342</v>
      </c>
      <c r="J755" s="278">
        <f t="shared" si="204"/>
        <v>139.5</v>
      </c>
      <c r="K755" s="212">
        <f t="shared" si="205"/>
        <v>6.5557147477983477</v>
      </c>
      <c r="X755" s="137">
        <v>118</v>
      </c>
      <c r="Y755" s="137">
        <f>66+10+16+36/2</f>
        <v>110</v>
      </c>
      <c r="Z755" s="137">
        <f>66+10+19+16/2</f>
        <v>103</v>
      </c>
      <c r="AA755" s="137">
        <f>66+10+19+52/2</f>
        <v>121</v>
      </c>
    </row>
    <row r="756" spans="1:27" ht="50.25" customHeight="1">
      <c r="A756" s="62" t="s">
        <v>340</v>
      </c>
      <c r="B756" s="699"/>
      <c r="C756" s="700"/>
      <c r="D756" s="276">
        <v>13.7</v>
      </c>
      <c r="E756" s="57">
        <v>486</v>
      </c>
      <c r="F756" s="277">
        <v>4918</v>
      </c>
      <c r="G756" s="78">
        <v>39.700000000000003</v>
      </c>
      <c r="H756" s="278">
        <v>0</v>
      </c>
      <c r="I756" s="215">
        <f t="shared" si="203"/>
        <v>46.574855782819661</v>
      </c>
      <c r="J756" s="278">
        <f t="shared" si="204"/>
        <v>162.5</v>
      </c>
      <c r="K756" s="212">
        <f t="shared" si="205"/>
        <v>8.6476775288603118</v>
      </c>
      <c r="X756" s="137">
        <v>139</v>
      </c>
      <c r="Y756" s="137">
        <f>87+10+16+36/2</f>
        <v>131</v>
      </c>
      <c r="Z756" s="137">
        <f>87+10+19+16/2</f>
        <v>124</v>
      </c>
      <c r="AA756" s="137">
        <f>87+10+19+52/2</f>
        <v>142</v>
      </c>
    </row>
    <row r="757" spans="1:27" ht="50.25" customHeight="1">
      <c r="A757" s="62" t="s">
        <v>341</v>
      </c>
      <c r="B757" s="699"/>
      <c r="C757" s="700"/>
      <c r="D757" s="276">
        <v>13.7</v>
      </c>
      <c r="E757" s="57">
        <v>486</v>
      </c>
      <c r="F757" s="277">
        <v>4918</v>
      </c>
      <c r="G757" s="78">
        <v>39.700000000000003</v>
      </c>
      <c r="H757" s="278">
        <v>0</v>
      </c>
      <c r="I757" s="215">
        <f t="shared" si="203"/>
        <v>46.574855782819661</v>
      </c>
      <c r="J757" s="278">
        <f t="shared" si="204"/>
        <v>182.5</v>
      </c>
      <c r="K757" s="212">
        <f t="shared" si="205"/>
        <v>7.8550136614939294</v>
      </c>
      <c r="X757" s="139">
        <v>162</v>
      </c>
      <c r="Y757" s="139">
        <f>110+10+16+36/2</f>
        <v>154</v>
      </c>
      <c r="Z757" s="139">
        <f>110+10+19+16/2</f>
        <v>147</v>
      </c>
      <c r="AA757" s="139">
        <f>110+10+19+52/2</f>
        <v>165</v>
      </c>
    </row>
    <row r="758" spans="1:27" ht="50.25" customHeight="1">
      <c r="A758" s="62" t="s">
        <v>342</v>
      </c>
      <c r="B758" s="701"/>
      <c r="C758" s="702"/>
      <c r="D758" s="276">
        <v>13.7</v>
      </c>
      <c r="E758" s="57">
        <v>486</v>
      </c>
      <c r="F758" s="277">
        <v>4918</v>
      </c>
      <c r="G758" s="78">
        <v>39.700000000000003</v>
      </c>
      <c r="H758" s="278">
        <v>0</v>
      </c>
      <c r="I758" s="215">
        <f t="shared" si="203"/>
        <v>46.574855782819661</v>
      </c>
      <c r="J758" s="278">
        <f t="shared" si="204"/>
        <v>202.5</v>
      </c>
      <c r="K758" s="212">
        <f t="shared" si="205"/>
        <v>7.1953256114452913</v>
      </c>
      <c r="X758" s="139">
        <f>53/2+16+10+130</f>
        <v>182.5</v>
      </c>
      <c r="Y758" s="139">
        <f>36/2+16+10+130</f>
        <v>174</v>
      </c>
      <c r="Z758" s="139">
        <f>16/2+19+10+130</f>
        <v>167</v>
      </c>
      <c r="AA758" s="139">
        <f>52/2+19+10+130</f>
        <v>185</v>
      </c>
    </row>
    <row r="759" spans="1:27">
      <c r="X759" s="139">
        <f>53/2+16+10+150</f>
        <v>202.5</v>
      </c>
      <c r="Y759" s="139">
        <f>36/2+16+10+150</f>
        <v>194</v>
      </c>
      <c r="Z759" s="139">
        <f>16/2+19+10+150</f>
        <v>187</v>
      </c>
      <c r="AA759" s="139">
        <f>52/2+19+10+150</f>
        <v>205</v>
      </c>
    </row>
    <row r="760" spans="1:27" ht="75">
      <c r="B760" s="71"/>
      <c r="E760" s="141" t="s">
        <v>187</v>
      </c>
      <c r="H760" s="142" t="s">
        <v>188</v>
      </c>
      <c r="I760" s="142" t="s">
        <v>189</v>
      </c>
      <c r="R760" s="703" t="s">
        <v>190</v>
      </c>
      <c r="S760" s="704"/>
      <c r="T760" s="704"/>
      <c r="U760" s="705"/>
      <c r="V760" s="143"/>
    </row>
    <row r="761" spans="1:27" ht="19.5" customHeight="1">
      <c r="A761" s="3" t="s">
        <v>2</v>
      </c>
      <c r="B761" s="72" t="s">
        <v>154</v>
      </c>
      <c r="C761" s="72" t="s">
        <v>160</v>
      </c>
      <c r="D761" s="72" t="s">
        <v>158</v>
      </c>
      <c r="E761" s="73" t="s">
        <v>161</v>
      </c>
      <c r="F761" s="4" t="s">
        <v>178</v>
      </c>
      <c r="G761" s="4" t="s">
        <v>186</v>
      </c>
      <c r="H761" s="73" t="s">
        <v>191</v>
      </c>
      <c r="I761" s="73" t="s">
        <v>192</v>
      </c>
      <c r="K761" s="664" t="s">
        <v>162</v>
      </c>
      <c r="L761" s="665"/>
      <c r="M761" s="665"/>
      <c r="N761" s="665"/>
      <c r="O761" s="666"/>
      <c r="P761"/>
      <c r="Q761" s="3" t="s">
        <v>2</v>
      </c>
      <c r="R761" s="706" t="s">
        <v>193</v>
      </c>
      <c r="S761" s="707"/>
      <c r="T761" s="706" t="s">
        <v>194</v>
      </c>
      <c r="U761" s="707"/>
      <c r="V761" s="664" t="s">
        <v>195</v>
      </c>
      <c r="W761" s="666"/>
    </row>
    <row r="762" spans="1:27" ht="30">
      <c r="A762" s="7"/>
      <c r="B762" s="75" t="s">
        <v>17</v>
      </c>
      <c r="C762" s="76" t="s">
        <v>17</v>
      </c>
      <c r="D762" s="76" t="s">
        <v>17</v>
      </c>
      <c r="E762" s="77" t="s">
        <v>17</v>
      </c>
      <c r="F762" s="8" t="s">
        <v>17</v>
      </c>
      <c r="G762" s="8" t="s">
        <v>17</v>
      </c>
      <c r="H762" s="77" t="s">
        <v>17</v>
      </c>
      <c r="I762" s="77" t="s">
        <v>17</v>
      </c>
      <c r="K762" s="87">
        <v>0.6</v>
      </c>
      <c r="L762" s="87">
        <v>0.7</v>
      </c>
      <c r="M762" s="87">
        <v>0.8</v>
      </c>
      <c r="N762" s="87">
        <v>0.9</v>
      </c>
      <c r="O762" s="87">
        <v>1</v>
      </c>
      <c r="P762"/>
      <c r="Q762" s="7"/>
      <c r="R762" s="87">
        <v>0.6</v>
      </c>
      <c r="S762" s="87">
        <v>0.9</v>
      </c>
      <c r="T762" s="87">
        <v>0.6</v>
      </c>
      <c r="U762" s="87">
        <v>0.9</v>
      </c>
      <c r="V762" s="144" t="s">
        <v>196</v>
      </c>
      <c r="W762" s="144" t="s">
        <v>197</v>
      </c>
    </row>
    <row r="763" spans="1:27" ht="45">
      <c r="A763" s="62" t="s">
        <v>330</v>
      </c>
      <c r="B763" s="59">
        <f t="shared" ref="B763:B777" si="206">G706</f>
        <v>6.4479422867607532</v>
      </c>
      <c r="C763" s="59">
        <v>4</v>
      </c>
      <c r="D763" s="59">
        <f t="shared" ref="D763:D777" si="207">I744</f>
        <v>9.4311941603363891</v>
      </c>
      <c r="E763" s="97">
        <f>MIN(B763,D763)</f>
        <v>6.4479422867607532</v>
      </c>
      <c r="F763" s="59">
        <f t="shared" ref="F763:F777" si="208">I706</f>
        <v>0.68556196386955359</v>
      </c>
      <c r="G763" s="59">
        <f t="shared" ref="G763:G777" si="209">K744</f>
        <v>1.0529401549478103</v>
      </c>
      <c r="H763" s="97">
        <f t="shared" ref="H763:H774" si="210">MIN(F763:G763,C763)</f>
        <v>0.68556196386955359</v>
      </c>
      <c r="I763" s="97">
        <f>H763+$B$683</f>
        <v>4.6855619638695538</v>
      </c>
      <c r="K763" s="81">
        <f t="shared" ref="K763:O777" si="211">MIN(K$762*$B763/1.3,$C763/1,K$762*$D763/1.3)</f>
        <v>2.9759733631203473</v>
      </c>
      <c r="L763" s="81">
        <f t="shared" si="211"/>
        <v>3.471968923640405</v>
      </c>
      <c r="M763" s="81">
        <f t="shared" si="211"/>
        <v>3.967964484160464</v>
      </c>
      <c r="N763" s="81">
        <f t="shared" si="211"/>
        <v>4</v>
      </c>
      <c r="O763" s="81">
        <f t="shared" si="211"/>
        <v>4</v>
      </c>
      <c r="P763"/>
      <c r="Q763" s="62" t="s">
        <v>330</v>
      </c>
      <c r="R763" s="81">
        <f t="shared" ref="R763:S777" si="212">MIN(R$762*$F763/1.3,$C763/1,R$762*$G763/1.3)</f>
        <v>0.31641321409364009</v>
      </c>
      <c r="S763" s="81">
        <f t="shared" si="212"/>
        <v>0.4746198211404602</v>
      </c>
      <c r="T763" s="81">
        <f t="shared" ref="T763:U777" si="213">$I763*T$762/1.3</f>
        <v>2.1625670602474862</v>
      </c>
      <c r="U763" s="81">
        <f t="shared" si="213"/>
        <v>3.2438505903712298</v>
      </c>
      <c r="V763" s="274">
        <f t="shared" ref="V763:V777" si="214">R763*200/1.35</f>
        <v>46.876031717576311</v>
      </c>
      <c r="W763" s="274">
        <f>T763*200/1.35</f>
        <v>320.38030522184977</v>
      </c>
    </row>
    <row r="764" spans="1:27" ht="45">
      <c r="A764" s="62" t="s">
        <v>334</v>
      </c>
      <c r="B764" s="59">
        <f t="shared" si="206"/>
        <v>8.7507788177467365</v>
      </c>
      <c r="C764" s="59">
        <v>8</v>
      </c>
      <c r="D764" s="59">
        <f t="shared" si="207"/>
        <v>12.612827162714847</v>
      </c>
      <c r="E764" s="97">
        <f t="shared" ref="E764:E777" si="215">MIN(B764,D764)</f>
        <v>8.7507788177467365</v>
      </c>
      <c r="F764" s="59">
        <f t="shared" si="208"/>
        <v>0.93004458531057144</v>
      </c>
      <c r="G764" s="59">
        <f t="shared" si="209"/>
        <v>1.4281713519797015</v>
      </c>
      <c r="H764" s="97">
        <f t="shared" si="210"/>
        <v>0.93004458531057144</v>
      </c>
      <c r="I764" s="97">
        <f t="shared" ref="I764:I774" si="216">H764+$B$683</f>
        <v>4.9300445853105712</v>
      </c>
      <c r="K764" s="81">
        <f t="shared" si="211"/>
        <v>4.038820992806186</v>
      </c>
      <c r="L764" s="81">
        <f t="shared" si="211"/>
        <v>4.7119578249405496</v>
      </c>
      <c r="M764" s="81">
        <f t="shared" si="211"/>
        <v>5.385094657074915</v>
      </c>
      <c r="N764" s="81">
        <f t="shared" si="211"/>
        <v>6.0582314892092786</v>
      </c>
      <c r="O764" s="81">
        <f t="shared" si="211"/>
        <v>6.731368321343643</v>
      </c>
      <c r="P764"/>
      <c r="Q764" s="62" t="s">
        <v>334</v>
      </c>
      <c r="R764" s="81">
        <f t="shared" si="212"/>
        <v>0.42925134706641754</v>
      </c>
      <c r="S764" s="81">
        <f t="shared" si="212"/>
        <v>0.64387702059962637</v>
      </c>
      <c r="T764" s="81">
        <f t="shared" si="213"/>
        <v>2.2754051932202635</v>
      </c>
      <c r="U764" s="81">
        <f t="shared" si="213"/>
        <v>3.4131077898303959</v>
      </c>
      <c r="V764" s="274">
        <f t="shared" si="214"/>
        <v>63.59279215798778</v>
      </c>
      <c r="W764" s="274">
        <f t="shared" ref="W764:W777" si="217">T764*200/1.35</f>
        <v>337.09706566226123</v>
      </c>
    </row>
    <row r="765" spans="1:27" ht="45">
      <c r="A765" s="62" t="s">
        <v>331</v>
      </c>
      <c r="B765" s="59">
        <f t="shared" si="206"/>
        <v>12.895884573521506</v>
      </c>
      <c r="C765" s="59">
        <v>10</v>
      </c>
      <c r="D765" s="59">
        <f t="shared" si="207"/>
        <v>18.867247809428463</v>
      </c>
      <c r="E765" s="97">
        <f t="shared" si="215"/>
        <v>12.895884573521506</v>
      </c>
      <c r="F765" s="59">
        <f t="shared" si="208"/>
        <v>1.4937800644343464</v>
      </c>
      <c r="G765" s="59">
        <f t="shared" si="209"/>
        <v>2.2940224981557469</v>
      </c>
      <c r="H765" s="97">
        <f t="shared" si="210"/>
        <v>1.4937800644343464</v>
      </c>
      <c r="I765" s="97">
        <f t="shared" si="216"/>
        <v>5.4937800644343469</v>
      </c>
      <c r="K765" s="81">
        <f t="shared" si="211"/>
        <v>5.9519467262406947</v>
      </c>
      <c r="L765" s="81">
        <f t="shared" si="211"/>
        <v>6.94393784728081</v>
      </c>
      <c r="M765" s="81">
        <f t="shared" si="211"/>
        <v>7.935928968320928</v>
      </c>
      <c r="N765" s="81">
        <f t="shared" si="211"/>
        <v>8.9279200893610415</v>
      </c>
      <c r="O765" s="81">
        <f t="shared" si="211"/>
        <v>9.9199112104011586</v>
      </c>
      <c r="P765"/>
      <c r="Q765" s="62" t="s">
        <v>331</v>
      </c>
      <c r="R765" s="81">
        <f t="shared" si="212"/>
        <v>0.68943695281585216</v>
      </c>
      <c r="S765" s="81">
        <f t="shared" si="212"/>
        <v>1.0341554292237782</v>
      </c>
      <c r="T765" s="81">
        <f t="shared" si="213"/>
        <v>2.5355907989696984</v>
      </c>
      <c r="U765" s="81">
        <f t="shared" si="213"/>
        <v>3.8033861984545481</v>
      </c>
      <c r="V765" s="274">
        <f t="shared" si="214"/>
        <v>102.13880782457069</v>
      </c>
      <c r="W765" s="274">
        <f t="shared" si="217"/>
        <v>375.64308132884418</v>
      </c>
    </row>
    <row r="766" spans="1:27" ht="45">
      <c r="A766" s="62" t="s">
        <v>333</v>
      </c>
      <c r="B766" s="59">
        <f t="shared" si="206"/>
        <v>16.810706676197679</v>
      </c>
      <c r="C766" s="59">
        <v>12</v>
      </c>
      <c r="D766" s="59">
        <f t="shared" si="207"/>
        <v>24.755400336061037</v>
      </c>
      <c r="E766" s="97">
        <f t="shared" si="215"/>
        <v>16.810706676197679</v>
      </c>
      <c r="F766" s="59">
        <f t="shared" si="208"/>
        <v>2.0699476121956257</v>
      </c>
      <c r="G766" s="59">
        <f t="shared" si="209"/>
        <v>3.1789097314502079</v>
      </c>
      <c r="H766" s="97">
        <f t="shared" si="210"/>
        <v>2.0699476121956257</v>
      </c>
      <c r="I766" s="97">
        <f t="shared" si="216"/>
        <v>6.0699476121956257</v>
      </c>
      <c r="K766" s="81">
        <f t="shared" si="211"/>
        <v>7.7587876967066203</v>
      </c>
      <c r="L766" s="81">
        <f t="shared" si="211"/>
        <v>9.0519189794910577</v>
      </c>
      <c r="M766" s="81">
        <f t="shared" si="211"/>
        <v>10.345050262275494</v>
      </c>
      <c r="N766" s="81">
        <f t="shared" si="211"/>
        <v>11.638181545059931</v>
      </c>
      <c r="O766" s="81">
        <f t="shared" si="211"/>
        <v>12</v>
      </c>
      <c r="P766"/>
      <c r="Q766" s="62" t="s">
        <v>333</v>
      </c>
      <c r="R766" s="81">
        <f t="shared" si="212"/>
        <v>0.95536043639798107</v>
      </c>
      <c r="S766" s="81">
        <f t="shared" si="212"/>
        <v>1.4330406545969716</v>
      </c>
      <c r="T766" s="81">
        <f t="shared" si="213"/>
        <v>2.8015142825518269</v>
      </c>
      <c r="U766" s="81">
        <f t="shared" si="213"/>
        <v>4.2022714238277405</v>
      </c>
      <c r="V766" s="274">
        <f t="shared" si="214"/>
        <v>141.53487946636756</v>
      </c>
      <c r="W766" s="274">
        <f t="shared" si="217"/>
        <v>415.039152970641</v>
      </c>
    </row>
    <row r="767" spans="1:27" ht="45">
      <c r="A767" s="62" t="s">
        <v>332</v>
      </c>
      <c r="B767" s="59">
        <f t="shared" si="206"/>
        <v>20.955812431972447</v>
      </c>
      <c r="C767" s="59">
        <v>12</v>
      </c>
      <c r="D767" s="59">
        <f t="shared" si="207"/>
        <v>30.939288915885378</v>
      </c>
      <c r="E767" s="97">
        <f t="shared" si="215"/>
        <v>20.955812431972447</v>
      </c>
      <c r="F767" s="59">
        <f t="shared" si="208"/>
        <v>2.6785451403230303</v>
      </c>
      <c r="G767" s="59">
        <f t="shared" si="209"/>
        <v>4.1135329443476287</v>
      </c>
      <c r="H767" s="97">
        <f t="shared" si="210"/>
        <v>2.6785451403230303</v>
      </c>
      <c r="I767" s="97">
        <f t="shared" si="216"/>
        <v>6.6785451403230303</v>
      </c>
      <c r="K767" s="81">
        <f t="shared" si="211"/>
        <v>9.6719134301411298</v>
      </c>
      <c r="L767" s="81">
        <f t="shared" si="211"/>
        <v>11.283899001831315</v>
      </c>
      <c r="M767" s="81">
        <f t="shared" si="211"/>
        <v>12</v>
      </c>
      <c r="N767" s="81">
        <f t="shared" si="211"/>
        <v>12</v>
      </c>
      <c r="O767" s="81">
        <f t="shared" si="211"/>
        <v>12</v>
      </c>
      <c r="P767"/>
      <c r="Q767" s="62" t="s">
        <v>332</v>
      </c>
      <c r="R767" s="81">
        <f t="shared" si="212"/>
        <v>1.2362516032260138</v>
      </c>
      <c r="S767" s="81">
        <f t="shared" si="212"/>
        <v>1.8543774048390211</v>
      </c>
      <c r="T767" s="81">
        <f t="shared" si="213"/>
        <v>3.0824054493798596</v>
      </c>
      <c r="U767" s="81">
        <f t="shared" si="213"/>
        <v>4.6236081740697896</v>
      </c>
      <c r="V767" s="274">
        <f t="shared" si="214"/>
        <v>183.14838566311315</v>
      </c>
      <c r="W767" s="274">
        <f t="shared" si="217"/>
        <v>456.65265916738662</v>
      </c>
    </row>
    <row r="768" spans="1:27" ht="45">
      <c r="A768" s="62" t="s">
        <v>335</v>
      </c>
      <c r="B768" s="59">
        <f t="shared" si="206"/>
        <v>25.100918187747219</v>
      </c>
      <c r="C768" s="59">
        <v>12</v>
      </c>
      <c r="D768" s="59">
        <f t="shared" si="207"/>
        <v>37.127060080507114</v>
      </c>
      <c r="E768" s="97">
        <f t="shared" si="215"/>
        <v>25.100918187747219</v>
      </c>
      <c r="F768" s="59">
        <f t="shared" si="208"/>
        <v>3.3245358298367984</v>
      </c>
      <c r="G768" s="59">
        <f t="shared" si="209"/>
        <v>5.1055236549138909</v>
      </c>
      <c r="H768" s="97">
        <f t="shared" si="210"/>
        <v>3.3245358298367984</v>
      </c>
      <c r="I768" s="97">
        <f t="shared" si="216"/>
        <v>7.3245358298367984</v>
      </c>
      <c r="K768" s="81">
        <f t="shared" si="211"/>
        <v>11.585039163575638</v>
      </c>
      <c r="L768" s="81">
        <f t="shared" si="211"/>
        <v>12</v>
      </c>
      <c r="M768" s="81">
        <f t="shared" si="211"/>
        <v>12</v>
      </c>
      <c r="N768" s="81">
        <f t="shared" si="211"/>
        <v>12</v>
      </c>
      <c r="O768" s="81">
        <f t="shared" si="211"/>
        <v>12</v>
      </c>
      <c r="P768"/>
      <c r="Q768" s="62" t="s">
        <v>335</v>
      </c>
      <c r="R768" s="81">
        <f t="shared" si="212"/>
        <v>1.5344011522323684</v>
      </c>
      <c r="S768" s="81">
        <f t="shared" si="212"/>
        <v>2.3016017283485528</v>
      </c>
      <c r="T768" s="81">
        <f t="shared" si="213"/>
        <v>3.3805549983862146</v>
      </c>
      <c r="U768" s="81">
        <f t="shared" si="213"/>
        <v>5.070832497579322</v>
      </c>
      <c r="V768" s="274">
        <f t="shared" si="214"/>
        <v>227.31868921961009</v>
      </c>
      <c r="W768" s="274">
        <f t="shared" si="217"/>
        <v>500.82296272388362</v>
      </c>
    </row>
    <row r="769" spans="1:23" ht="45">
      <c r="A769" s="256" t="s">
        <v>738</v>
      </c>
      <c r="B769" s="59">
        <f t="shared" si="206"/>
        <v>23.751228314680212</v>
      </c>
      <c r="C769" s="59">
        <v>10</v>
      </c>
      <c r="D769" s="59">
        <f t="shared" si="207"/>
        <v>18.867247809428463</v>
      </c>
      <c r="E769" s="97">
        <f t="shared" si="215"/>
        <v>18.867247809428463</v>
      </c>
      <c r="F769" s="59">
        <f t="shared" si="208"/>
        <v>2.7511964115393384</v>
      </c>
      <c r="G769" s="59">
        <f t="shared" si="209"/>
        <v>2.2940224981557469</v>
      </c>
      <c r="H769" s="97">
        <f t="shared" ref="H769" si="218">MIN(F769:G769,C769)</f>
        <v>2.2940224981557469</v>
      </c>
      <c r="I769" s="97">
        <f t="shared" ref="I769" si="219">H769+$B$683</f>
        <v>6.2940224981557469</v>
      </c>
      <c r="K769" s="81">
        <f t="shared" si="211"/>
        <v>8.7079605274285203</v>
      </c>
      <c r="L769" s="81">
        <f t="shared" si="211"/>
        <v>10</v>
      </c>
      <c r="M769" s="81">
        <f t="shared" si="211"/>
        <v>10</v>
      </c>
      <c r="N769" s="81">
        <f t="shared" si="211"/>
        <v>10</v>
      </c>
      <c r="O769" s="81">
        <f t="shared" si="211"/>
        <v>10</v>
      </c>
      <c r="P769"/>
      <c r="Q769" s="256" t="s">
        <v>738</v>
      </c>
      <c r="R769" s="81">
        <f t="shared" si="212"/>
        <v>1.0587796145334214</v>
      </c>
      <c r="S769" s="81">
        <f t="shared" si="212"/>
        <v>1.5881694218001323</v>
      </c>
      <c r="T769" s="81">
        <f t="shared" si="213"/>
        <v>2.9049334606872677</v>
      </c>
      <c r="U769" s="81">
        <f t="shared" si="213"/>
        <v>4.3574001910309015</v>
      </c>
      <c r="V769" s="274">
        <f t="shared" ref="V769" si="220">R769*200/1.35</f>
        <v>156.85623919013648</v>
      </c>
      <c r="W769" s="274">
        <f t="shared" ref="W769" si="221">T769*200/1.35</f>
        <v>430.36051269440998</v>
      </c>
    </row>
    <row r="770" spans="1:23" ht="45">
      <c r="A770" s="256" t="s">
        <v>727</v>
      </c>
      <c r="B770" s="59">
        <f t="shared" si="206"/>
        <v>30.961422624493849</v>
      </c>
      <c r="C770" s="59">
        <v>12</v>
      </c>
      <c r="D770" s="59">
        <f t="shared" si="207"/>
        <v>24.755400336061037</v>
      </c>
      <c r="E770" s="97">
        <f t="shared" ref="E770" si="222">MIN(B770,D770)</f>
        <v>24.755400336061037</v>
      </c>
      <c r="F770" s="59">
        <f t="shared" si="208"/>
        <v>3.8123633982915046</v>
      </c>
      <c r="G770" s="59">
        <f t="shared" si="209"/>
        <v>3.1789097314502079</v>
      </c>
      <c r="H770" s="97">
        <f t="shared" ref="H770" si="223">MIN(F770:G770,C770)</f>
        <v>3.1789097314502079</v>
      </c>
      <c r="I770" s="97">
        <f t="shared" ref="I770" si="224">H770+$B$683</f>
        <v>7.1789097314502079</v>
      </c>
      <c r="K770" s="81">
        <f t="shared" si="211"/>
        <v>11.425569385874324</v>
      </c>
      <c r="L770" s="81">
        <f t="shared" si="211"/>
        <v>12</v>
      </c>
      <c r="M770" s="81">
        <f t="shared" si="211"/>
        <v>12</v>
      </c>
      <c r="N770" s="81">
        <f t="shared" si="211"/>
        <v>12</v>
      </c>
      <c r="O770" s="81">
        <f t="shared" si="211"/>
        <v>12</v>
      </c>
      <c r="P770"/>
      <c r="Q770" s="256" t="s">
        <v>727</v>
      </c>
      <c r="R770" s="81">
        <f t="shared" si="212"/>
        <v>1.4671891068231728</v>
      </c>
      <c r="S770" s="81">
        <f t="shared" si="212"/>
        <v>2.2007836602347592</v>
      </c>
      <c r="T770" s="81">
        <f t="shared" si="213"/>
        <v>3.3133429529770186</v>
      </c>
      <c r="U770" s="81">
        <f t="shared" si="213"/>
        <v>4.9700144294655288</v>
      </c>
      <c r="V770" s="274">
        <f t="shared" ref="V770" si="225">R770*200/1.35</f>
        <v>217.36134915898853</v>
      </c>
      <c r="W770" s="274">
        <f t="shared" ref="W770" si="226">T770*200/1.35</f>
        <v>490.865622663262</v>
      </c>
    </row>
    <row r="771" spans="1:23" ht="45">
      <c r="A771" s="256" t="s">
        <v>336</v>
      </c>
      <c r="B771" s="59">
        <f t="shared" si="206"/>
        <v>38.595746011355345</v>
      </c>
      <c r="C771" s="59">
        <v>12</v>
      </c>
      <c r="D771" s="59">
        <f t="shared" si="207"/>
        <v>30.939288915885378</v>
      </c>
      <c r="E771" s="97">
        <f t="shared" si="215"/>
        <v>30.939288915885378</v>
      </c>
      <c r="F771" s="59">
        <f t="shared" si="208"/>
        <v>4.9332588870727569</v>
      </c>
      <c r="G771" s="59">
        <f t="shared" si="209"/>
        <v>4.1135329443476287</v>
      </c>
      <c r="H771" s="97">
        <f t="shared" si="210"/>
        <v>4.1135329443476287</v>
      </c>
      <c r="I771" s="97">
        <f t="shared" si="216"/>
        <v>8.1135329443476287</v>
      </c>
      <c r="K771" s="81">
        <f t="shared" si="211"/>
        <v>12</v>
      </c>
      <c r="L771" s="81">
        <f t="shared" si="211"/>
        <v>12</v>
      </c>
      <c r="M771" s="81">
        <f t="shared" si="211"/>
        <v>12</v>
      </c>
      <c r="N771" s="81">
        <f t="shared" si="211"/>
        <v>12</v>
      </c>
      <c r="O771" s="81">
        <f t="shared" si="211"/>
        <v>12</v>
      </c>
      <c r="P771"/>
      <c r="Q771" s="256" t="s">
        <v>336</v>
      </c>
      <c r="R771" s="81">
        <f t="shared" si="212"/>
        <v>1.8985536666219824</v>
      </c>
      <c r="S771" s="81">
        <f t="shared" si="212"/>
        <v>2.8478304999329738</v>
      </c>
      <c r="T771" s="81">
        <f t="shared" si="213"/>
        <v>3.744707512775828</v>
      </c>
      <c r="U771" s="81">
        <f t="shared" si="213"/>
        <v>5.6170612691637434</v>
      </c>
      <c r="V771" s="274">
        <f>R771*200/1.35</f>
        <v>281.26720986992331</v>
      </c>
      <c r="W771" s="274">
        <f>T771*200/1.35</f>
        <v>554.77148337419669</v>
      </c>
    </row>
    <row r="772" spans="1:23" ht="45">
      <c r="A772" s="256" t="s">
        <v>337</v>
      </c>
      <c r="B772" s="59">
        <f t="shared" si="206"/>
        <v>46.230069398216841</v>
      </c>
      <c r="C772" s="59">
        <v>12</v>
      </c>
      <c r="D772" s="59">
        <f t="shared" si="207"/>
        <v>37.127060080507114</v>
      </c>
      <c r="E772" s="97">
        <f t="shared" si="215"/>
        <v>37.127060080507114</v>
      </c>
      <c r="F772" s="59">
        <f t="shared" si="208"/>
        <v>6.12302390616283</v>
      </c>
      <c r="G772" s="59">
        <f t="shared" si="209"/>
        <v>5.1055236549138909</v>
      </c>
      <c r="H772" s="97">
        <f t="shared" si="210"/>
        <v>5.1055236549138909</v>
      </c>
      <c r="I772" s="97">
        <f t="shared" si="216"/>
        <v>9.1055236549138918</v>
      </c>
      <c r="K772" s="81">
        <f t="shared" si="211"/>
        <v>12</v>
      </c>
      <c r="L772" s="81">
        <f t="shared" si="211"/>
        <v>12</v>
      </c>
      <c r="M772" s="81">
        <f t="shared" si="211"/>
        <v>12</v>
      </c>
      <c r="N772" s="81">
        <f t="shared" si="211"/>
        <v>12</v>
      </c>
      <c r="O772" s="81">
        <f t="shared" si="211"/>
        <v>12</v>
      </c>
      <c r="P772"/>
      <c r="Q772" s="256" t="s">
        <v>337</v>
      </c>
      <c r="R772" s="81">
        <f t="shared" si="212"/>
        <v>2.3563955330371802</v>
      </c>
      <c r="S772" s="81">
        <f t="shared" si="212"/>
        <v>3.5345932995557705</v>
      </c>
      <c r="T772" s="81">
        <f t="shared" si="213"/>
        <v>4.2025493791910264</v>
      </c>
      <c r="U772" s="81">
        <f t="shared" si="213"/>
        <v>6.3038240687865406</v>
      </c>
      <c r="V772" s="274">
        <f>R772*200/1.35</f>
        <v>349.09563452402671</v>
      </c>
      <c r="W772" s="274">
        <f>T772*200/1.35</f>
        <v>622.59990802830021</v>
      </c>
    </row>
    <row r="773" spans="1:23" ht="45">
      <c r="A773" s="62" t="s">
        <v>338</v>
      </c>
      <c r="B773" s="59">
        <f t="shared" si="206"/>
        <v>15.19872110450749</v>
      </c>
      <c r="C773" s="59">
        <v>8</v>
      </c>
      <c r="D773" s="59">
        <f t="shared" si="207"/>
        <v>22.060260066839945</v>
      </c>
      <c r="E773" s="97">
        <f t="shared" si="215"/>
        <v>15.19872110450749</v>
      </c>
      <c r="F773" s="59">
        <f t="shared" si="208"/>
        <v>2.8454065427374902</v>
      </c>
      <c r="G773" s="59">
        <f t="shared" si="209"/>
        <v>4.3635207379614211</v>
      </c>
      <c r="H773" s="97">
        <f t="shared" si="210"/>
        <v>2.8454065427374902</v>
      </c>
      <c r="I773" s="97">
        <f t="shared" si="216"/>
        <v>6.8454065427374902</v>
      </c>
      <c r="K773" s="81">
        <f t="shared" si="211"/>
        <v>7.0147943559265338</v>
      </c>
      <c r="L773" s="81">
        <f t="shared" si="211"/>
        <v>8</v>
      </c>
      <c r="M773" s="81">
        <f t="shared" si="211"/>
        <v>8</v>
      </c>
      <c r="N773" s="81">
        <f t="shared" si="211"/>
        <v>8</v>
      </c>
      <c r="O773" s="81">
        <f t="shared" si="211"/>
        <v>8</v>
      </c>
      <c r="P773"/>
      <c r="Q773" s="62" t="s">
        <v>338</v>
      </c>
      <c r="R773" s="81">
        <f t="shared" si="212"/>
        <v>1.3132645581865339</v>
      </c>
      <c r="S773" s="81">
        <f t="shared" si="212"/>
        <v>1.9698968372798009</v>
      </c>
      <c r="T773" s="81">
        <f t="shared" si="213"/>
        <v>3.1594184043403799</v>
      </c>
      <c r="U773" s="81">
        <f t="shared" si="213"/>
        <v>4.7391276065105696</v>
      </c>
      <c r="V773" s="274">
        <f t="shared" si="214"/>
        <v>194.55771232393093</v>
      </c>
      <c r="W773" s="274">
        <f t="shared" si="217"/>
        <v>468.0619858282044</v>
      </c>
    </row>
    <row r="774" spans="1:23" ht="47.25" customHeight="1">
      <c r="A774" s="62" t="s">
        <v>339</v>
      </c>
      <c r="B774" s="59">
        <f t="shared" si="206"/>
        <v>23.258648962958429</v>
      </c>
      <c r="C774" s="59">
        <v>10</v>
      </c>
      <c r="D774" s="59">
        <f t="shared" si="207"/>
        <v>34.193460589897342</v>
      </c>
      <c r="E774" s="97">
        <f t="shared" si="215"/>
        <v>23.258648962958429</v>
      </c>
      <c r="F774" s="59">
        <f t="shared" si="208"/>
        <v>4.2725432285353833</v>
      </c>
      <c r="G774" s="59">
        <f t="shared" si="209"/>
        <v>6.5557147477983477</v>
      </c>
      <c r="H774" s="97">
        <f t="shared" si="210"/>
        <v>4.2725432285353833</v>
      </c>
      <c r="I774" s="97">
        <f t="shared" si="216"/>
        <v>8.2725432285353833</v>
      </c>
      <c r="K774" s="81">
        <f t="shared" si="211"/>
        <v>10</v>
      </c>
      <c r="L774" s="81">
        <f t="shared" si="211"/>
        <v>10</v>
      </c>
      <c r="M774" s="81">
        <f t="shared" si="211"/>
        <v>10</v>
      </c>
      <c r="N774" s="81">
        <f t="shared" si="211"/>
        <v>10</v>
      </c>
      <c r="O774" s="81">
        <f t="shared" si="211"/>
        <v>10</v>
      </c>
      <c r="P774"/>
      <c r="Q774" s="62" t="s">
        <v>339</v>
      </c>
      <c r="R774" s="81">
        <f t="shared" si="212"/>
        <v>1.9719430285547921</v>
      </c>
      <c r="S774" s="81">
        <f t="shared" si="212"/>
        <v>2.9579145428321882</v>
      </c>
      <c r="T774" s="81">
        <f t="shared" si="213"/>
        <v>3.8180968747086386</v>
      </c>
      <c r="U774" s="81">
        <f t="shared" si="213"/>
        <v>5.727145312062957</v>
      </c>
      <c r="V774" s="274">
        <f t="shared" si="214"/>
        <v>292.13970793404326</v>
      </c>
      <c r="W774" s="274">
        <f t="shared" si="217"/>
        <v>565.64398143831681</v>
      </c>
    </row>
    <row r="775" spans="1:23" ht="47.25" customHeight="1">
      <c r="A775" s="62" t="s">
        <v>340</v>
      </c>
      <c r="B775" s="59">
        <f t="shared" si="206"/>
        <v>31.548860474507968</v>
      </c>
      <c r="C775" s="59">
        <v>12</v>
      </c>
      <c r="D775" s="59">
        <f t="shared" si="207"/>
        <v>46.574855782819661</v>
      </c>
      <c r="E775" s="97">
        <f t="shared" si="215"/>
        <v>31.548860474507968</v>
      </c>
      <c r="F775" s="59">
        <f t="shared" si="208"/>
        <v>5.6346405643713657</v>
      </c>
      <c r="G775" s="59">
        <f t="shared" si="209"/>
        <v>8.6476775288603118</v>
      </c>
      <c r="H775" s="97">
        <f>MIN(F775:G775,C775)</f>
        <v>5.6346405643713657</v>
      </c>
      <c r="I775" s="97">
        <f>H775+$B$683</f>
        <v>9.6346405643713666</v>
      </c>
      <c r="K775" s="81">
        <f t="shared" si="211"/>
        <v>12</v>
      </c>
      <c r="L775" s="81">
        <f t="shared" si="211"/>
        <v>12</v>
      </c>
      <c r="M775" s="81">
        <f t="shared" si="211"/>
        <v>12</v>
      </c>
      <c r="N775" s="81">
        <f t="shared" si="211"/>
        <v>12</v>
      </c>
      <c r="O775" s="81">
        <f t="shared" si="211"/>
        <v>12</v>
      </c>
      <c r="P775"/>
      <c r="Q775" s="62" t="s">
        <v>340</v>
      </c>
      <c r="R775" s="81">
        <f t="shared" si="212"/>
        <v>2.6006033374021684</v>
      </c>
      <c r="S775" s="81">
        <f t="shared" si="212"/>
        <v>3.9009050061032533</v>
      </c>
      <c r="T775" s="81">
        <f t="shared" si="213"/>
        <v>4.4467571835560156</v>
      </c>
      <c r="U775" s="81">
        <f t="shared" si="213"/>
        <v>6.6701357753340238</v>
      </c>
      <c r="V775" s="274">
        <f t="shared" si="214"/>
        <v>385.2745685040249</v>
      </c>
      <c r="W775" s="274">
        <f t="shared" si="217"/>
        <v>658.77884200829851</v>
      </c>
    </row>
    <row r="776" spans="1:23" ht="47.25" customHeight="1">
      <c r="A776" s="62" t="s">
        <v>341</v>
      </c>
      <c r="B776" s="59">
        <f t="shared" si="206"/>
        <v>31.548860474507968</v>
      </c>
      <c r="C776" s="59">
        <v>12</v>
      </c>
      <c r="D776" s="59">
        <f t="shared" si="207"/>
        <v>46.574855782819661</v>
      </c>
      <c r="E776" s="97">
        <f t="shared" si="215"/>
        <v>31.548860474507968</v>
      </c>
      <c r="F776" s="59">
        <f t="shared" si="208"/>
        <v>5.1169638723882258</v>
      </c>
      <c r="G776" s="59">
        <f t="shared" si="209"/>
        <v>7.8550136614939294</v>
      </c>
      <c r="H776" s="97">
        <f>MIN(F776:G776,C776)</f>
        <v>5.1169638723882258</v>
      </c>
      <c r="I776" s="97">
        <f>H776+$B$683</f>
        <v>9.1169638723882258</v>
      </c>
      <c r="K776" s="81">
        <f t="shared" si="211"/>
        <v>12</v>
      </c>
      <c r="L776" s="81">
        <f t="shared" si="211"/>
        <v>12</v>
      </c>
      <c r="M776" s="81">
        <f t="shared" si="211"/>
        <v>12</v>
      </c>
      <c r="N776" s="81">
        <f t="shared" si="211"/>
        <v>12</v>
      </c>
      <c r="O776" s="81">
        <f t="shared" si="211"/>
        <v>12</v>
      </c>
      <c r="P776"/>
      <c r="Q776" s="62" t="s">
        <v>341</v>
      </c>
      <c r="R776" s="81">
        <f t="shared" si="212"/>
        <v>2.3616756334099502</v>
      </c>
      <c r="S776" s="81">
        <f t="shared" si="212"/>
        <v>3.5425134501149258</v>
      </c>
      <c r="T776" s="81">
        <f t="shared" si="213"/>
        <v>4.207829479563796</v>
      </c>
      <c r="U776" s="81">
        <f t="shared" si="213"/>
        <v>6.3117442193456954</v>
      </c>
      <c r="V776" s="274">
        <f t="shared" si="214"/>
        <v>349.87787161628893</v>
      </c>
      <c r="W776" s="274">
        <f t="shared" si="217"/>
        <v>623.38214512056231</v>
      </c>
    </row>
    <row r="777" spans="1:23" ht="47.25" customHeight="1">
      <c r="A777" s="62" t="s">
        <v>342</v>
      </c>
      <c r="B777" s="59">
        <f t="shared" si="206"/>
        <v>31.548860474507968</v>
      </c>
      <c r="C777" s="59">
        <v>12</v>
      </c>
      <c r="D777" s="59">
        <f t="shared" si="207"/>
        <v>46.574855782819661</v>
      </c>
      <c r="E777" s="97">
        <f t="shared" si="215"/>
        <v>31.548860474507968</v>
      </c>
      <c r="F777" s="59">
        <f t="shared" si="208"/>
        <v>4.6863960027681477</v>
      </c>
      <c r="G777" s="59">
        <f t="shared" si="209"/>
        <v>7.1953256114452913</v>
      </c>
      <c r="H777" s="97">
        <f>MIN(F777:G777,C777)</f>
        <v>4.6863960027681477</v>
      </c>
      <c r="I777" s="97">
        <f>H777+$B$683</f>
        <v>8.6863960027681486</v>
      </c>
      <c r="K777" s="81">
        <f t="shared" si="211"/>
        <v>12</v>
      </c>
      <c r="L777" s="81">
        <f t="shared" si="211"/>
        <v>12</v>
      </c>
      <c r="M777" s="81">
        <f t="shared" si="211"/>
        <v>12</v>
      </c>
      <c r="N777" s="81">
        <f t="shared" si="211"/>
        <v>12</v>
      </c>
      <c r="O777" s="81">
        <f t="shared" si="211"/>
        <v>12</v>
      </c>
      <c r="P777"/>
      <c r="Q777" s="62" t="s">
        <v>342</v>
      </c>
      <c r="R777" s="81">
        <f t="shared" si="212"/>
        <v>2.1629520012776062</v>
      </c>
      <c r="S777" s="81">
        <f t="shared" si="212"/>
        <v>3.2444280019164102</v>
      </c>
      <c r="T777" s="81">
        <f t="shared" si="213"/>
        <v>4.0091058474314529</v>
      </c>
      <c r="U777" s="81">
        <f t="shared" si="213"/>
        <v>6.0136587711471794</v>
      </c>
      <c r="V777" s="274">
        <f t="shared" si="214"/>
        <v>320.4373335226083</v>
      </c>
      <c r="W777" s="274">
        <f t="shared" si="217"/>
        <v>593.94160702688191</v>
      </c>
    </row>
    <row r="778" spans="1:23">
      <c r="A778" s="83"/>
      <c r="D778" s="91"/>
    </row>
    <row r="779" spans="1:23">
      <c r="D779" s="92"/>
    </row>
    <row r="780" spans="1:23">
      <c r="A780" s="21" t="s">
        <v>198</v>
      </c>
      <c r="B780" s="20">
        <v>65</v>
      </c>
      <c r="C780" t="s">
        <v>62</v>
      </c>
      <c r="D780" s="92"/>
    </row>
    <row r="781" spans="1:23" ht="18">
      <c r="A781" s="21" t="s">
        <v>199</v>
      </c>
      <c r="B781">
        <f>16+B780/2</f>
        <v>48.5</v>
      </c>
      <c r="C781" t="s">
        <v>62</v>
      </c>
      <c r="D781" s="146" t="s">
        <v>200</v>
      </c>
      <c r="K781" s="708" t="s">
        <v>201</v>
      </c>
      <c r="L781" s="709"/>
      <c r="M781" s="709"/>
      <c r="N781" s="710"/>
      <c r="S781" s="711"/>
      <c r="T781" s="711"/>
      <c r="U781" s="711"/>
      <c r="V781" s="711"/>
    </row>
    <row r="782" spans="1:23" ht="18">
      <c r="A782" s="21" t="s">
        <v>37</v>
      </c>
      <c r="B782" s="147">
        <f>B678</f>
        <v>385</v>
      </c>
      <c r="C782" t="s">
        <v>38</v>
      </c>
      <c r="D782" s="92"/>
      <c r="K782" s="712" t="s">
        <v>202</v>
      </c>
      <c r="L782" s="713"/>
      <c r="M782" s="713"/>
      <c r="N782" s="714"/>
      <c r="P782"/>
      <c r="S782" s="711"/>
      <c r="T782" s="711"/>
      <c r="U782" s="711"/>
      <c r="V782" s="711"/>
    </row>
    <row r="783" spans="1:23" ht="31.5" customHeight="1">
      <c r="A783" s="3" t="s">
        <v>2</v>
      </c>
      <c r="B783" s="148" t="s">
        <v>203</v>
      </c>
      <c r="C783" s="4" t="s">
        <v>204</v>
      </c>
      <c r="D783" s="135" t="s">
        <v>179</v>
      </c>
      <c r="E783" s="148" t="s">
        <v>205</v>
      </c>
      <c r="F783" s="4" t="s">
        <v>206</v>
      </c>
      <c r="G783" s="3" t="s">
        <v>207</v>
      </c>
      <c r="K783" s="706" t="s">
        <v>208</v>
      </c>
      <c r="L783" s="715"/>
      <c r="M783" s="706" t="s">
        <v>209</v>
      </c>
      <c r="N783" s="666"/>
      <c r="O783" s="664" t="s">
        <v>195</v>
      </c>
      <c r="P783" s="666"/>
      <c r="S783" s="716"/>
      <c r="T783" s="716"/>
      <c r="U783" s="716"/>
      <c r="V783" s="716"/>
    </row>
    <row r="784" spans="1:23" ht="30">
      <c r="A784" s="7"/>
      <c r="B784" s="149" t="s">
        <v>17</v>
      </c>
      <c r="C784" s="7"/>
      <c r="D784" s="136" t="s">
        <v>18</v>
      </c>
      <c r="E784" s="149" t="s">
        <v>18</v>
      </c>
      <c r="F784" s="7"/>
      <c r="G784" s="76" t="s">
        <v>17</v>
      </c>
      <c r="K784" s="150">
        <v>0.6</v>
      </c>
      <c r="L784" s="150">
        <v>0.9</v>
      </c>
      <c r="M784" s="150">
        <v>0.6</v>
      </c>
      <c r="N784" s="150">
        <v>0.9</v>
      </c>
      <c r="O784" s="144" t="s">
        <v>196</v>
      </c>
      <c r="P784" s="144" t="s">
        <v>197</v>
      </c>
      <c r="T784" s="2"/>
      <c r="U784" s="2"/>
      <c r="V784" s="2"/>
    </row>
    <row r="785" spans="1:22">
      <c r="A785" s="41" t="s">
        <v>210</v>
      </c>
      <c r="B785" s="151">
        <f t="shared" ref="B785:B790" si="227">MIN(B763,D763)</f>
        <v>6.4479422867607532</v>
      </c>
      <c r="C785" s="152">
        <v>0.108</v>
      </c>
      <c r="D785" s="138">
        <v>21</v>
      </c>
      <c r="E785" s="151">
        <f>D785+10+$B$781</f>
        <v>79.5</v>
      </c>
      <c r="F785" s="153">
        <f>1/(1+E785*C785)</f>
        <v>0.10431879824744418</v>
      </c>
      <c r="G785" s="154">
        <f>F785*B785</f>
        <v>0.67264159052375894</v>
      </c>
      <c r="K785" s="81">
        <f>$G785*K$784/1.3</f>
        <v>0.31044996485711951</v>
      </c>
      <c r="L785" s="81">
        <f>$G785*L$784/1.3</f>
        <v>0.46567494728567921</v>
      </c>
      <c r="M785" s="81">
        <f t="shared" ref="M785:N795" si="228">($G785+$B$683)*M$784/1.3</f>
        <v>2.1566038110109655</v>
      </c>
      <c r="N785" s="81">
        <f t="shared" si="228"/>
        <v>3.2349057165164488</v>
      </c>
      <c r="O785" s="145">
        <f t="shared" ref="O785:O795" si="229">K785*200/1.35</f>
        <v>45.992587386239926</v>
      </c>
      <c r="P785" s="145">
        <f t="shared" ref="P785:P795" si="230">(K785+(4/1.3*0.6))*200/1.35</f>
        <v>319.4968608905134</v>
      </c>
      <c r="S785" s="105"/>
      <c r="T785" s="105"/>
      <c r="U785" s="105"/>
      <c r="V785" s="105"/>
    </row>
    <row r="786" spans="1:22">
      <c r="A786" s="41" t="s">
        <v>211</v>
      </c>
      <c r="B786" s="151">
        <f t="shared" si="227"/>
        <v>8.7507788177467365</v>
      </c>
      <c r="C786" s="152">
        <v>6.9000000000000006E-2</v>
      </c>
      <c r="D786" s="138">
        <v>31</v>
      </c>
      <c r="E786" s="151">
        <f t="shared" ref="E786:E795" si="231">D786+10+$B$781</f>
        <v>89.5</v>
      </c>
      <c r="F786" s="153">
        <f t="shared" ref="F786:F795" si="232">1/(1+E786*C786)</f>
        <v>0.13936311058462825</v>
      </c>
      <c r="G786" s="154">
        <f t="shared" ref="G786:G795" si="233">F786*B786</f>
        <v>1.2195357560792608</v>
      </c>
      <c r="K786" s="81">
        <f t="shared" ref="K786:K795" si="234">$G786*K$784/1.3</f>
        <v>0.56286265665196655</v>
      </c>
      <c r="L786" s="81">
        <f t="shared" ref="L786:L795" si="235">$G786*L$784/1.3</f>
        <v>0.84429398497794983</v>
      </c>
      <c r="M786" s="81">
        <f t="shared" si="228"/>
        <v>2.4090165028058128</v>
      </c>
      <c r="N786" s="81">
        <f t="shared" si="228"/>
        <v>3.6135247542087194</v>
      </c>
      <c r="O786" s="145">
        <f t="shared" si="229"/>
        <v>83.387060244735778</v>
      </c>
      <c r="P786" s="145">
        <f t="shared" si="230"/>
        <v>356.89133374900922</v>
      </c>
      <c r="S786" s="105"/>
      <c r="T786" s="105"/>
      <c r="U786" s="105"/>
      <c r="V786" s="105"/>
    </row>
    <row r="787" spans="1:22">
      <c r="A787" s="41" t="s">
        <v>212</v>
      </c>
      <c r="B787" s="151">
        <f t="shared" si="227"/>
        <v>12.895884573521506</v>
      </c>
      <c r="C787" s="152">
        <v>5.3999999999999999E-2</v>
      </c>
      <c r="D787" s="138">
        <v>41</v>
      </c>
      <c r="E787" s="151">
        <f t="shared" si="231"/>
        <v>99.5</v>
      </c>
      <c r="F787" s="153">
        <f t="shared" si="232"/>
        <v>0.15691197238349286</v>
      </c>
      <c r="G787" s="154">
        <f t="shared" si="233"/>
        <v>2.0235186840611181</v>
      </c>
      <c r="K787" s="81">
        <f t="shared" si="234"/>
        <v>0.93393170033590067</v>
      </c>
      <c r="L787" s="81">
        <f t="shared" si="235"/>
        <v>1.400897550503851</v>
      </c>
      <c r="M787" s="81">
        <f t="shared" si="228"/>
        <v>2.7800855464897465</v>
      </c>
      <c r="N787" s="81">
        <f t="shared" si="228"/>
        <v>4.1701283197346202</v>
      </c>
      <c r="O787" s="145">
        <f t="shared" si="229"/>
        <v>138.3602519016149</v>
      </c>
      <c r="P787" s="145">
        <f t="shared" si="230"/>
        <v>411.86452540588834</v>
      </c>
      <c r="S787" s="105"/>
      <c r="T787" s="105"/>
      <c r="U787" s="105"/>
      <c r="V787" s="105"/>
    </row>
    <row r="788" spans="1:22">
      <c r="A788" s="41" t="s">
        <v>213</v>
      </c>
      <c r="B788" s="151">
        <f t="shared" si="227"/>
        <v>16.810706676197679</v>
      </c>
      <c r="C788" s="152">
        <v>4.4999999999999998E-2</v>
      </c>
      <c r="D788" s="138">
        <v>51</v>
      </c>
      <c r="E788" s="151">
        <f t="shared" si="231"/>
        <v>109.5</v>
      </c>
      <c r="F788" s="153">
        <f t="shared" si="232"/>
        <v>0.16870518768452128</v>
      </c>
      <c r="G788" s="154">
        <f t="shared" si="233"/>
        <v>2.8360534249173641</v>
      </c>
      <c r="K788" s="81">
        <f t="shared" si="234"/>
        <v>1.3089477345772449</v>
      </c>
      <c r="L788" s="81">
        <f t="shared" si="235"/>
        <v>1.9634216018658674</v>
      </c>
      <c r="M788" s="81">
        <f t="shared" si="228"/>
        <v>3.1551015807310905</v>
      </c>
      <c r="N788" s="81">
        <f t="shared" si="228"/>
        <v>4.7326523710966368</v>
      </c>
      <c r="O788" s="145">
        <f t="shared" si="229"/>
        <v>193.91818290033257</v>
      </c>
      <c r="P788" s="145">
        <f t="shared" si="230"/>
        <v>467.42245640460601</v>
      </c>
      <c r="S788" s="105"/>
      <c r="T788" s="105"/>
      <c r="U788" s="105"/>
      <c r="V788" s="105"/>
    </row>
    <row r="789" spans="1:22">
      <c r="A789" s="41" t="s">
        <v>214</v>
      </c>
      <c r="B789" s="151">
        <f t="shared" si="227"/>
        <v>20.955812431972447</v>
      </c>
      <c r="C789" s="152">
        <v>3.7999999999999999E-2</v>
      </c>
      <c r="D789" s="138">
        <v>61</v>
      </c>
      <c r="E789" s="151">
        <f t="shared" si="231"/>
        <v>119.5</v>
      </c>
      <c r="F789" s="153">
        <f t="shared" si="232"/>
        <v>0.18047283883775495</v>
      </c>
      <c r="G789" s="154">
        <f t="shared" si="233"/>
        <v>3.781954959749585</v>
      </c>
      <c r="K789" s="81">
        <f t="shared" si="234"/>
        <v>1.7455176737305775</v>
      </c>
      <c r="L789" s="81">
        <f t="shared" si="235"/>
        <v>2.6182765105958667</v>
      </c>
      <c r="M789" s="81">
        <f t="shared" si="228"/>
        <v>3.5916715198844238</v>
      </c>
      <c r="N789" s="81">
        <f t="shared" si="228"/>
        <v>5.3875072798266359</v>
      </c>
      <c r="O789" s="145">
        <f t="shared" si="229"/>
        <v>258.59521092304851</v>
      </c>
      <c r="P789" s="145">
        <f t="shared" si="230"/>
        <v>532.09948442732195</v>
      </c>
      <c r="S789" s="105"/>
      <c r="T789" s="105"/>
      <c r="U789" s="105"/>
      <c r="V789" s="105"/>
    </row>
    <row r="790" spans="1:22">
      <c r="A790" s="41" t="s">
        <v>215</v>
      </c>
      <c r="B790" s="151">
        <f t="shared" si="227"/>
        <v>25.100918187747219</v>
      </c>
      <c r="C790" s="152">
        <v>3.4000000000000002E-2</v>
      </c>
      <c r="D790" s="138">
        <v>71</v>
      </c>
      <c r="E790" s="151">
        <f t="shared" si="231"/>
        <v>129.5</v>
      </c>
      <c r="F790" s="153">
        <f t="shared" si="232"/>
        <v>0.18508236165093464</v>
      </c>
      <c r="G790" s="154">
        <f t="shared" si="233"/>
        <v>4.6457372177951539</v>
      </c>
      <c r="K790" s="81">
        <f t="shared" si="234"/>
        <v>2.1441864082131481</v>
      </c>
      <c r="L790" s="81">
        <f t="shared" si="235"/>
        <v>3.2162796123197221</v>
      </c>
      <c r="M790" s="81">
        <f t="shared" si="228"/>
        <v>3.9903402543669944</v>
      </c>
      <c r="N790" s="81">
        <f t="shared" si="228"/>
        <v>5.9855103815504913</v>
      </c>
      <c r="O790" s="145">
        <f t="shared" si="229"/>
        <v>317.65724566120707</v>
      </c>
      <c r="P790" s="145">
        <f t="shared" si="230"/>
        <v>591.16151916548051</v>
      </c>
      <c r="S790" s="105"/>
      <c r="T790" s="105"/>
      <c r="U790" s="105"/>
      <c r="V790" s="105"/>
    </row>
    <row r="791" spans="1:22">
      <c r="A791" s="41" t="s">
        <v>216</v>
      </c>
      <c r="B791" s="151">
        <f>MIN(B773,D773)</f>
        <v>15.19872110450749</v>
      </c>
      <c r="C791" s="152">
        <v>0.03</v>
      </c>
      <c r="D791" s="138">
        <v>66</v>
      </c>
      <c r="E791" s="151">
        <f t="shared" si="231"/>
        <v>124.5</v>
      </c>
      <c r="F791" s="153">
        <f t="shared" si="232"/>
        <v>0.2111932418162619</v>
      </c>
      <c r="G791" s="154">
        <f t="shared" si="233"/>
        <v>3.2098671815221733</v>
      </c>
      <c r="K791" s="81">
        <f t="shared" si="234"/>
        <v>1.4814771607025414</v>
      </c>
      <c r="L791" s="81">
        <f t="shared" si="235"/>
        <v>2.2222157410538124</v>
      </c>
      <c r="M791" s="81">
        <f t="shared" si="228"/>
        <v>3.3276310068563872</v>
      </c>
      <c r="N791" s="81">
        <f t="shared" si="228"/>
        <v>4.9914465102845815</v>
      </c>
      <c r="O791" s="145">
        <f t="shared" si="229"/>
        <v>219.47809788185799</v>
      </c>
      <c r="P791" s="145">
        <f t="shared" si="230"/>
        <v>492.98237138613143</v>
      </c>
      <c r="S791" s="105"/>
      <c r="T791" s="105"/>
      <c r="U791" s="105"/>
      <c r="V791" s="105"/>
    </row>
    <row r="792" spans="1:22">
      <c r="A792" s="41" t="s">
        <v>217</v>
      </c>
      <c r="B792" s="151">
        <f>MIN(B774,D774)</f>
        <v>23.258648962958429</v>
      </c>
      <c r="C792" s="152">
        <v>2.4E-2</v>
      </c>
      <c r="D792" s="138">
        <v>87</v>
      </c>
      <c r="E792" s="151">
        <f t="shared" si="231"/>
        <v>145.5</v>
      </c>
      <c r="F792" s="153">
        <f t="shared" si="232"/>
        <v>0.22261798753339271</v>
      </c>
      <c r="G792" s="154">
        <f t="shared" si="233"/>
        <v>5.1777936248794365</v>
      </c>
      <c r="K792" s="81">
        <f t="shared" si="234"/>
        <v>2.3897509037905089</v>
      </c>
      <c r="L792" s="81">
        <f t="shared" si="235"/>
        <v>3.5846263556857636</v>
      </c>
      <c r="M792" s="81">
        <f t="shared" si="228"/>
        <v>4.2359047499443552</v>
      </c>
      <c r="N792" s="81">
        <f t="shared" si="228"/>
        <v>6.3538571249165328</v>
      </c>
      <c r="O792" s="145">
        <f t="shared" si="229"/>
        <v>354.03717093192722</v>
      </c>
      <c r="P792" s="145">
        <f t="shared" si="230"/>
        <v>627.54144443620066</v>
      </c>
      <c r="S792" s="105"/>
      <c r="T792" s="105"/>
      <c r="U792" s="105"/>
      <c r="V792" s="105"/>
    </row>
    <row r="793" spans="1:22">
      <c r="A793" s="41" t="s">
        <v>218</v>
      </c>
      <c r="B793" s="151">
        <f>MIN(B775,D775)</f>
        <v>31.548860474507968</v>
      </c>
      <c r="C793" s="152">
        <v>0.02</v>
      </c>
      <c r="D793" s="138">
        <v>110</v>
      </c>
      <c r="E793" s="151">
        <f t="shared" si="231"/>
        <v>168.5</v>
      </c>
      <c r="F793" s="153">
        <f t="shared" si="232"/>
        <v>0.22883295194508008</v>
      </c>
      <c r="G793" s="154">
        <f t="shared" si="233"/>
        <v>7.2194188728851181</v>
      </c>
      <c r="K793" s="81">
        <f t="shared" si="234"/>
        <v>3.332039479793131</v>
      </c>
      <c r="L793" s="81">
        <f t="shared" si="235"/>
        <v>4.9980592196896971</v>
      </c>
      <c r="M793" s="81">
        <f t="shared" si="228"/>
        <v>5.1781933259469772</v>
      </c>
      <c r="N793" s="81">
        <f t="shared" si="228"/>
        <v>7.7672899889204672</v>
      </c>
      <c r="O793" s="145">
        <f t="shared" si="229"/>
        <v>493.63547848787124</v>
      </c>
      <c r="P793" s="145">
        <f t="shared" si="230"/>
        <v>767.13975199214451</v>
      </c>
      <c r="S793" s="105"/>
      <c r="T793" s="105"/>
      <c r="U793" s="105"/>
      <c r="V793" s="105"/>
    </row>
    <row r="794" spans="1:22">
      <c r="A794" s="41" t="s">
        <v>219</v>
      </c>
      <c r="B794" s="151">
        <f>B793</f>
        <v>31.548860474507968</v>
      </c>
      <c r="C794" s="152">
        <v>1.7999999999999999E-2</v>
      </c>
      <c r="D794" s="138">
        <v>130</v>
      </c>
      <c r="E794" s="151">
        <f t="shared" si="231"/>
        <v>188.5</v>
      </c>
      <c r="F794" s="153">
        <f t="shared" si="232"/>
        <v>0.22763487366264512</v>
      </c>
      <c r="G794" s="154">
        <f t="shared" si="233"/>
        <v>7.18162086831504</v>
      </c>
      <c r="K794" s="81">
        <f t="shared" si="234"/>
        <v>3.3145942469146337</v>
      </c>
      <c r="L794" s="81">
        <f t="shared" si="235"/>
        <v>4.9718913703719503</v>
      </c>
      <c r="M794" s="81">
        <f t="shared" si="228"/>
        <v>5.1607480930684799</v>
      </c>
      <c r="N794" s="81">
        <f t="shared" si="228"/>
        <v>7.7411221396027203</v>
      </c>
      <c r="O794" s="145">
        <f t="shared" si="229"/>
        <v>491.05099954290864</v>
      </c>
      <c r="P794" s="145">
        <f t="shared" si="230"/>
        <v>764.55527304718203</v>
      </c>
      <c r="S794" s="105"/>
      <c r="T794" s="105"/>
      <c r="U794" s="105"/>
      <c r="V794" s="105"/>
    </row>
    <row r="795" spans="1:22">
      <c r="A795" s="41" t="s">
        <v>220</v>
      </c>
      <c r="B795" s="151">
        <f>B794</f>
        <v>31.548860474507968</v>
      </c>
      <c r="C795" s="152">
        <v>1.6E-2</v>
      </c>
      <c r="D795" s="138">
        <v>150</v>
      </c>
      <c r="E795" s="151">
        <f t="shared" si="231"/>
        <v>208.5</v>
      </c>
      <c r="F795" s="153">
        <f t="shared" si="232"/>
        <v>0.23062730627306272</v>
      </c>
      <c r="G795" s="154">
        <f t="shared" si="233"/>
        <v>7.2760287072204717</v>
      </c>
      <c r="K795" s="81">
        <f t="shared" si="234"/>
        <v>3.3581670956402174</v>
      </c>
      <c r="L795" s="81">
        <f t="shared" si="235"/>
        <v>5.0372506434603261</v>
      </c>
      <c r="M795" s="81">
        <f t="shared" si="228"/>
        <v>5.2043209417940641</v>
      </c>
      <c r="N795" s="81">
        <f t="shared" si="228"/>
        <v>7.8064814126910962</v>
      </c>
      <c r="O795" s="145">
        <f t="shared" si="229"/>
        <v>497.50623639114326</v>
      </c>
      <c r="P795" s="145">
        <f t="shared" si="230"/>
        <v>771.01050989541682</v>
      </c>
      <c r="S795" s="105"/>
      <c r="T795" s="105"/>
      <c r="U795" s="105"/>
      <c r="V795" s="105"/>
    </row>
    <row r="796" spans="1:22">
      <c r="B796" s="155"/>
      <c r="C796" s="156"/>
      <c r="D796" s="92"/>
      <c r="E796" s="155"/>
      <c r="F796" s="157"/>
      <c r="G796" s="158"/>
      <c r="K796" s="105"/>
      <c r="L796" s="105"/>
      <c r="M796" s="105"/>
      <c r="N796" s="105"/>
      <c r="P796" s="159"/>
      <c r="Q796" s="159"/>
    </row>
    <row r="797" spans="1:22">
      <c r="D797" s="92"/>
    </row>
    <row r="798" spans="1:22" ht="23.25">
      <c r="A798" s="160" t="s">
        <v>221</v>
      </c>
      <c r="D798" s="92"/>
    </row>
    <row r="799" spans="1:22">
      <c r="A799" s="21" t="s">
        <v>198</v>
      </c>
      <c r="B799" s="20">
        <v>58</v>
      </c>
      <c r="C799" t="s">
        <v>62</v>
      </c>
      <c r="D799" s="92"/>
    </row>
    <row r="800" spans="1:22" ht="18">
      <c r="A800" s="21" t="s">
        <v>199</v>
      </c>
      <c r="B800">
        <f>19+B799/2</f>
        <v>48</v>
      </c>
      <c r="C800" t="s">
        <v>62</v>
      </c>
      <c r="D800" s="146" t="s">
        <v>222</v>
      </c>
      <c r="K800" s="708" t="s">
        <v>223</v>
      </c>
      <c r="L800" s="709"/>
      <c r="M800" s="709"/>
      <c r="N800" s="710"/>
      <c r="S800" s="708" t="s">
        <v>223</v>
      </c>
      <c r="T800" s="709"/>
      <c r="U800" s="709"/>
      <c r="V800" s="710"/>
    </row>
    <row r="801" spans="1:22" ht="18">
      <c r="A801" s="21" t="s">
        <v>37</v>
      </c>
      <c r="B801" s="147">
        <v>380</v>
      </c>
      <c r="C801" t="s">
        <v>38</v>
      </c>
      <c r="D801" s="92"/>
      <c r="K801" s="712" t="s">
        <v>202</v>
      </c>
      <c r="L801" s="713"/>
      <c r="M801" s="713"/>
      <c r="N801" s="714"/>
      <c r="P801"/>
      <c r="S801" s="712" t="s">
        <v>224</v>
      </c>
      <c r="T801" s="713"/>
      <c r="U801" s="713"/>
      <c r="V801" s="714"/>
    </row>
    <row r="802" spans="1:22" ht="18">
      <c r="A802" s="3" t="s">
        <v>2</v>
      </c>
      <c r="B802" s="148" t="s">
        <v>203</v>
      </c>
      <c r="C802" s="4" t="s">
        <v>204</v>
      </c>
      <c r="D802" s="135" t="s">
        <v>179</v>
      </c>
      <c r="E802" s="148" t="s">
        <v>205</v>
      </c>
      <c r="F802" s="4" t="s">
        <v>206</v>
      </c>
      <c r="G802" s="3" t="s">
        <v>207</v>
      </c>
      <c r="K802" s="718" t="s">
        <v>225</v>
      </c>
      <c r="L802" s="716"/>
      <c r="M802" s="716"/>
      <c r="N802" s="719"/>
      <c r="P802" s="720" t="s">
        <v>195</v>
      </c>
      <c r="Q802" s="720"/>
      <c r="S802" s="718" t="s">
        <v>225</v>
      </c>
      <c r="T802" s="716"/>
      <c r="U802" s="716"/>
      <c r="V802" s="719"/>
    </row>
    <row r="803" spans="1:22" ht="30">
      <c r="A803" s="7"/>
      <c r="B803" s="149" t="s">
        <v>17</v>
      </c>
      <c r="C803" s="7"/>
      <c r="D803" s="136" t="s">
        <v>18</v>
      </c>
      <c r="E803" s="149" t="s">
        <v>18</v>
      </c>
      <c r="F803" s="7"/>
      <c r="G803" s="76" t="s">
        <v>17</v>
      </c>
      <c r="K803" s="161">
        <v>0.6</v>
      </c>
      <c r="L803" s="161">
        <v>0.7</v>
      </c>
      <c r="M803" s="161">
        <v>0.8</v>
      </c>
      <c r="N803" s="161">
        <v>0.9</v>
      </c>
      <c r="P803" s="144" t="s">
        <v>208</v>
      </c>
      <c r="Q803" s="144" t="s">
        <v>197</v>
      </c>
      <c r="S803" s="161">
        <v>0.6</v>
      </c>
      <c r="T803" s="161">
        <v>0.7</v>
      </c>
      <c r="U803" s="161">
        <v>0.8</v>
      </c>
      <c r="V803" s="161">
        <v>0.9</v>
      </c>
    </row>
    <row r="804" spans="1:22">
      <c r="A804" s="41" t="s">
        <v>210</v>
      </c>
      <c r="B804" s="151">
        <f t="shared" ref="B804:B809" si="236">MIN(B763,D763)</f>
        <v>6.4479422867607532</v>
      </c>
      <c r="C804" s="152">
        <v>0.108</v>
      </c>
      <c r="D804" s="138">
        <v>21</v>
      </c>
      <c r="E804" s="151">
        <f>D804+10+$B$800</f>
        <v>79</v>
      </c>
      <c r="F804" s="153">
        <f>1/(1+E804*C804)</f>
        <v>0.1049097775912715</v>
      </c>
      <c r="G804" s="154">
        <f>F804*B804</f>
        <v>0.67645219122542521</v>
      </c>
      <c r="K804" s="81">
        <f>$G804*K$803/1.3</f>
        <v>0.31220870364250392</v>
      </c>
      <c r="L804" s="81">
        <f t="shared" ref="L804:N814" si="237">$G804*L$803/1.3</f>
        <v>0.36424348758292124</v>
      </c>
      <c r="M804" s="81">
        <f t="shared" si="237"/>
        <v>0.41627827152333857</v>
      </c>
      <c r="N804" s="81">
        <f t="shared" si="237"/>
        <v>0.4683130554637559</v>
      </c>
      <c r="P804" s="162">
        <f t="shared" ref="P804:P814" si="238">K804*200/1.35</f>
        <v>46.253141280370947</v>
      </c>
      <c r="Q804" s="162">
        <f t="shared" ref="Q804:Q814" si="239">(K804+(4/1.3*0.6))*200/1.35</f>
        <v>319.75741478464437</v>
      </c>
      <c r="S804" s="81">
        <f t="shared" ref="S804:V814" si="240">($G804+$B$683)*S$803/1.3</f>
        <v>2.1583625497963501</v>
      </c>
      <c r="T804" s="81">
        <f t="shared" si="240"/>
        <v>2.518089641429075</v>
      </c>
      <c r="U804" s="81">
        <f t="shared" si="240"/>
        <v>2.8778167330618003</v>
      </c>
      <c r="V804" s="81">
        <f t="shared" si="240"/>
        <v>3.2375438246945252</v>
      </c>
    </row>
    <row r="805" spans="1:22">
      <c r="A805" s="41" t="s">
        <v>211</v>
      </c>
      <c r="B805" s="151">
        <f t="shared" si="236"/>
        <v>8.7507788177467365</v>
      </c>
      <c r="C805" s="152">
        <v>6.9000000000000006E-2</v>
      </c>
      <c r="D805" s="138">
        <v>31</v>
      </c>
      <c r="E805" s="151">
        <f t="shared" ref="E805:E814" si="241">D805+10+$B$800</f>
        <v>89</v>
      </c>
      <c r="F805" s="153">
        <f t="shared" ref="F805:F814" si="242">1/(1+E805*C805)</f>
        <v>0.14003640946646126</v>
      </c>
      <c r="G805" s="154">
        <f t="shared" ref="G805:G814" si="243">F805*B805</f>
        <v>1.2254276456724178</v>
      </c>
      <c r="K805" s="81">
        <f t="shared" ref="K805:K814" si="244">$G805*K$803/1.3</f>
        <v>0.56558199031034662</v>
      </c>
      <c r="L805" s="81">
        <f t="shared" si="237"/>
        <v>0.65984565536207107</v>
      </c>
      <c r="M805" s="81">
        <f t="shared" si="237"/>
        <v>0.75410932041379553</v>
      </c>
      <c r="N805" s="81">
        <f t="shared" si="237"/>
        <v>0.84837298546552009</v>
      </c>
      <c r="P805" s="162">
        <f t="shared" si="238"/>
        <v>83.789924490421711</v>
      </c>
      <c r="Q805" s="162">
        <f t="shared" si="239"/>
        <v>357.29419799469514</v>
      </c>
      <c r="S805" s="81">
        <f t="shared" si="240"/>
        <v>2.4117358364641923</v>
      </c>
      <c r="T805" s="81">
        <f t="shared" si="240"/>
        <v>2.8136918092082244</v>
      </c>
      <c r="U805" s="81">
        <f t="shared" si="240"/>
        <v>3.2156477819522573</v>
      </c>
      <c r="V805" s="81">
        <f t="shared" si="240"/>
        <v>3.6176037546962889</v>
      </c>
    </row>
    <row r="806" spans="1:22">
      <c r="A806" s="41" t="s">
        <v>212</v>
      </c>
      <c r="B806" s="151">
        <f t="shared" si="236"/>
        <v>12.895884573521506</v>
      </c>
      <c r="C806" s="152">
        <v>5.3999999999999999E-2</v>
      </c>
      <c r="D806" s="138">
        <v>41</v>
      </c>
      <c r="E806" s="151">
        <f t="shared" si="241"/>
        <v>99</v>
      </c>
      <c r="F806" s="153">
        <f t="shared" si="242"/>
        <v>0.15757957768673181</v>
      </c>
      <c r="G806" s="154">
        <f t="shared" si="243"/>
        <v>2.0321280449923584</v>
      </c>
      <c r="K806" s="81">
        <f t="shared" si="244"/>
        <v>0.93790525153493465</v>
      </c>
      <c r="L806" s="81">
        <f t="shared" si="237"/>
        <v>1.0942227934574238</v>
      </c>
      <c r="M806" s="81">
        <f t="shared" si="237"/>
        <v>1.2505403353799129</v>
      </c>
      <c r="N806" s="81">
        <f t="shared" si="237"/>
        <v>1.4068578773024019</v>
      </c>
      <c r="P806" s="162">
        <f t="shared" si="238"/>
        <v>138.94892615332364</v>
      </c>
      <c r="Q806" s="162">
        <f t="shared" si="239"/>
        <v>412.45319965759711</v>
      </c>
      <c r="S806" s="81">
        <f t="shared" si="240"/>
        <v>2.7840590976887807</v>
      </c>
      <c r="T806" s="81">
        <f t="shared" si="240"/>
        <v>3.2480689473035773</v>
      </c>
      <c r="U806" s="81">
        <f t="shared" si="240"/>
        <v>3.7120787969183744</v>
      </c>
      <c r="V806" s="81">
        <f t="shared" si="240"/>
        <v>4.1760886465331719</v>
      </c>
    </row>
    <row r="807" spans="1:22">
      <c r="A807" s="41" t="s">
        <v>213</v>
      </c>
      <c r="B807" s="151">
        <f t="shared" si="236"/>
        <v>16.810706676197679</v>
      </c>
      <c r="C807" s="152">
        <v>4.4999999999999998E-2</v>
      </c>
      <c r="D807" s="138">
        <v>51</v>
      </c>
      <c r="E807" s="151">
        <f t="shared" si="241"/>
        <v>109</v>
      </c>
      <c r="F807" s="153">
        <f t="shared" si="242"/>
        <v>0.16934801016088061</v>
      </c>
      <c r="G807" s="154">
        <f t="shared" si="243"/>
        <v>2.8468597250123078</v>
      </c>
      <c r="K807" s="81">
        <f t="shared" si="244"/>
        <v>1.3139352576979881</v>
      </c>
      <c r="L807" s="81">
        <f t="shared" si="237"/>
        <v>1.5329244673143194</v>
      </c>
      <c r="M807" s="81">
        <f t="shared" si="237"/>
        <v>1.7519136769306509</v>
      </c>
      <c r="N807" s="81">
        <f t="shared" si="237"/>
        <v>1.9709028865469822</v>
      </c>
      <c r="P807" s="162">
        <f t="shared" si="238"/>
        <v>194.65707521451677</v>
      </c>
      <c r="Q807" s="162">
        <f t="shared" si="239"/>
        <v>468.16134871879024</v>
      </c>
      <c r="S807" s="81">
        <f t="shared" si="240"/>
        <v>3.1600891038518344</v>
      </c>
      <c r="T807" s="81">
        <f t="shared" si="240"/>
        <v>3.6867706211604734</v>
      </c>
      <c r="U807" s="81">
        <f t="shared" si="240"/>
        <v>4.2134521384691128</v>
      </c>
      <c r="V807" s="81">
        <f t="shared" si="240"/>
        <v>4.7401336557777523</v>
      </c>
    </row>
    <row r="808" spans="1:22">
      <c r="A808" s="41" t="s">
        <v>214</v>
      </c>
      <c r="B808" s="151">
        <f t="shared" si="236"/>
        <v>20.955812431972447</v>
      </c>
      <c r="C808" s="152">
        <v>3.7999999999999999E-2</v>
      </c>
      <c r="D808" s="138">
        <v>61</v>
      </c>
      <c r="E808" s="151">
        <f t="shared" si="241"/>
        <v>119</v>
      </c>
      <c r="F808" s="153">
        <f t="shared" si="242"/>
        <v>0.18109380659181457</v>
      </c>
      <c r="G808" s="154">
        <f t="shared" si="243"/>
        <v>3.7949678435299616</v>
      </c>
      <c r="K808" s="81">
        <f t="shared" si="244"/>
        <v>1.7515236200907514</v>
      </c>
      <c r="L808" s="81">
        <f t="shared" si="237"/>
        <v>2.0434442234392098</v>
      </c>
      <c r="M808" s="81">
        <f t="shared" si="237"/>
        <v>2.3353648267876688</v>
      </c>
      <c r="N808" s="81">
        <f t="shared" si="237"/>
        <v>2.6272854301361273</v>
      </c>
      <c r="P808" s="162">
        <f t="shared" si="238"/>
        <v>259.48498075418541</v>
      </c>
      <c r="Q808" s="162">
        <f t="shared" si="239"/>
        <v>532.9892542584588</v>
      </c>
      <c r="S808" s="81">
        <f t="shared" si="240"/>
        <v>3.5976774662445976</v>
      </c>
      <c r="T808" s="81">
        <f t="shared" si="240"/>
        <v>4.1972903772853636</v>
      </c>
      <c r="U808" s="81">
        <f t="shared" si="240"/>
        <v>4.7969032883261313</v>
      </c>
      <c r="V808" s="81">
        <f t="shared" si="240"/>
        <v>5.3965161993668973</v>
      </c>
    </row>
    <row r="809" spans="1:22">
      <c r="A809" s="41" t="s">
        <v>215</v>
      </c>
      <c r="B809" s="151">
        <f t="shared" si="236"/>
        <v>25.100918187747219</v>
      </c>
      <c r="C809" s="152">
        <v>3.4000000000000002E-2</v>
      </c>
      <c r="D809" s="138">
        <v>71</v>
      </c>
      <c r="E809" s="151">
        <f t="shared" si="241"/>
        <v>129</v>
      </c>
      <c r="F809" s="153">
        <f t="shared" si="242"/>
        <v>0.18566654288897141</v>
      </c>
      <c r="G809" s="154">
        <f t="shared" si="243"/>
        <v>4.660400703257932</v>
      </c>
      <c r="K809" s="81">
        <f t="shared" si="244"/>
        <v>2.1509541707344302</v>
      </c>
      <c r="L809" s="81">
        <f t="shared" si="237"/>
        <v>2.5094465325235018</v>
      </c>
      <c r="M809" s="81">
        <f t="shared" si="237"/>
        <v>2.8679388943125734</v>
      </c>
      <c r="N809" s="81">
        <f t="shared" si="237"/>
        <v>3.2264312561016455</v>
      </c>
      <c r="P809" s="162">
        <f t="shared" si="238"/>
        <v>318.65987714584151</v>
      </c>
      <c r="Q809" s="162">
        <f t="shared" si="239"/>
        <v>592.16415065011495</v>
      </c>
      <c r="S809" s="81">
        <f t="shared" si="240"/>
        <v>3.9971080168882756</v>
      </c>
      <c r="T809" s="81">
        <f t="shared" si="240"/>
        <v>4.6632926863696547</v>
      </c>
      <c r="U809" s="81">
        <f t="shared" si="240"/>
        <v>5.3294773558510347</v>
      </c>
      <c r="V809" s="81">
        <f t="shared" si="240"/>
        <v>5.9956620253324138</v>
      </c>
    </row>
    <row r="810" spans="1:22">
      <c r="A810" s="41" t="s">
        <v>216</v>
      </c>
      <c r="B810" s="151">
        <f>MIN(B773,D773)</f>
        <v>15.19872110450749</v>
      </c>
      <c r="C810" s="152">
        <v>0.03</v>
      </c>
      <c r="D810" s="138">
        <v>66</v>
      </c>
      <c r="E810" s="151">
        <f t="shared" si="241"/>
        <v>124</v>
      </c>
      <c r="F810" s="153">
        <f t="shared" si="242"/>
        <v>0.21186440677966104</v>
      </c>
      <c r="G810" s="154">
        <f t="shared" si="243"/>
        <v>3.2200680306159937</v>
      </c>
      <c r="K810" s="81">
        <f t="shared" si="244"/>
        <v>1.4861852448996893</v>
      </c>
      <c r="L810" s="81">
        <f t="shared" si="237"/>
        <v>1.7338827857163039</v>
      </c>
      <c r="M810" s="81">
        <f t="shared" si="237"/>
        <v>1.9815803265329193</v>
      </c>
      <c r="N810" s="81">
        <f t="shared" si="237"/>
        <v>2.2292778673495341</v>
      </c>
      <c r="P810" s="162">
        <f t="shared" si="238"/>
        <v>220.175591836991</v>
      </c>
      <c r="Q810" s="162">
        <f t="shared" si="239"/>
        <v>493.67986534126442</v>
      </c>
      <c r="S810" s="81">
        <f t="shared" si="240"/>
        <v>3.3323390910535355</v>
      </c>
      <c r="T810" s="81">
        <f t="shared" si="240"/>
        <v>3.8877289395624577</v>
      </c>
      <c r="U810" s="81">
        <f t="shared" si="240"/>
        <v>4.4431187880713807</v>
      </c>
      <c r="V810" s="81">
        <f t="shared" si="240"/>
        <v>4.9985086365803033</v>
      </c>
    </row>
    <row r="811" spans="1:22">
      <c r="A811" s="41" t="s">
        <v>217</v>
      </c>
      <c r="B811" s="151">
        <f>MIN(B774,D774)</f>
        <v>23.258648962958429</v>
      </c>
      <c r="C811" s="152">
        <v>2.4E-2</v>
      </c>
      <c r="D811" s="138">
        <v>87</v>
      </c>
      <c r="E811" s="151">
        <f t="shared" si="241"/>
        <v>145</v>
      </c>
      <c r="F811" s="153">
        <f t="shared" si="242"/>
        <v>0.2232142857142857</v>
      </c>
      <c r="G811" s="154">
        <f t="shared" si="243"/>
        <v>5.1916627149460775</v>
      </c>
      <c r="K811" s="81">
        <f t="shared" si="244"/>
        <v>2.3961520222828048</v>
      </c>
      <c r="L811" s="81">
        <f t="shared" si="237"/>
        <v>2.7955106926632722</v>
      </c>
      <c r="M811" s="81">
        <f t="shared" si="237"/>
        <v>3.1948693630437401</v>
      </c>
      <c r="N811" s="81">
        <f t="shared" si="237"/>
        <v>3.5942280334242076</v>
      </c>
      <c r="P811" s="162">
        <f t="shared" si="238"/>
        <v>354.98548478263774</v>
      </c>
      <c r="Q811" s="162">
        <f t="shared" si="239"/>
        <v>628.48975828691107</v>
      </c>
      <c r="S811" s="81">
        <f t="shared" si="240"/>
        <v>4.2423058684366506</v>
      </c>
      <c r="T811" s="81">
        <f t="shared" si="240"/>
        <v>4.9493568465094251</v>
      </c>
      <c r="U811" s="81">
        <f t="shared" si="240"/>
        <v>5.6564078245822014</v>
      </c>
      <c r="V811" s="81">
        <f t="shared" si="240"/>
        <v>6.3634588026549768</v>
      </c>
    </row>
    <row r="812" spans="1:22">
      <c r="A812" s="41" t="s">
        <v>218</v>
      </c>
      <c r="B812" s="151">
        <f>MIN(B775,D775)</f>
        <v>31.548860474507968</v>
      </c>
      <c r="C812" s="152">
        <v>0.02</v>
      </c>
      <c r="D812" s="138">
        <v>110</v>
      </c>
      <c r="E812" s="151">
        <f t="shared" si="241"/>
        <v>168</v>
      </c>
      <c r="F812" s="153">
        <f t="shared" si="242"/>
        <v>0.22935779816513766</v>
      </c>
      <c r="G812" s="154">
        <f t="shared" si="243"/>
        <v>7.2359771730522873</v>
      </c>
      <c r="K812" s="81">
        <f t="shared" si="244"/>
        <v>3.3396817721779786</v>
      </c>
      <c r="L812" s="81">
        <f t="shared" si="237"/>
        <v>3.8962954008743078</v>
      </c>
      <c r="M812" s="81">
        <f t="shared" si="237"/>
        <v>4.4529090295706384</v>
      </c>
      <c r="N812" s="81">
        <f t="shared" si="237"/>
        <v>5.0095226582669685</v>
      </c>
      <c r="P812" s="162">
        <f t="shared" si="238"/>
        <v>494.76766995229309</v>
      </c>
      <c r="Q812" s="162">
        <f t="shared" si="239"/>
        <v>768.27194345656653</v>
      </c>
      <c r="S812" s="81">
        <f t="shared" si="240"/>
        <v>5.1858356183318248</v>
      </c>
      <c r="T812" s="81">
        <f t="shared" si="240"/>
        <v>6.0501415547204616</v>
      </c>
      <c r="U812" s="81">
        <f t="shared" si="240"/>
        <v>6.9144474911091001</v>
      </c>
      <c r="V812" s="81">
        <f t="shared" si="240"/>
        <v>7.7787534274977368</v>
      </c>
    </row>
    <row r="813" spans="1:22">
      <c r="A813" s="41" t="s">
        <v>219</v>
      </c>
      <c r="B813" s="151">
        <f>B812</f>
        <v>31.548860474507968</v>
      </c>
      <c r="C813" s="152">
        <v>1.7999999999999999E-2</v>
      </c>
      <c r="D813" s="138">
        <v>130</v>
      </c>
      <c r="E813" s="151">
        <f t="shared" si="241"/>
        <v>188</v>
      </c>
      <c r="F813" s="153">
        <f t="shared" si="242"/>
        <v>0.22810218978102187</v>
      </c>
      <c r="G813" s="154">
        <f t="shared" si="243"/>
        <v>7.1963641593311962</v>
      </c>
      <c r="K813" s="81">
        <f t="shared" si="244"/>
        <v>3.3213988427682444</v>
      </c>
      <c r="L813" s="81">
        <f t="shared" si="237"/>
        <v>3.8749653165629514</v>
      </c>
      <c r="M813" s="81">
        <f t="shared" si="237"/>
        <v>4.4285317903576598</v>
      </c>
      <c r="N813" s="81">
        <f t="shared" si="237"/>
        <v>4.9820982641523663</v>
      </c>
      <c r="P813" s="162">
        <f t="shared" si="238"/>
        <v>492.05908781751765</v>
      </c>
      <c r="Q813" s="162">
        <f t="shared" si="239"/>
        <v>765.56336132179104</v>
      </c>
      <c r="S813" s="81">
        <f t="shared" si="240"/>
        <v>5.1675526889220906</v>
      </c>
      <c r="T813" s="81">
        <f t="shared" si="240"/>
        <v>6.0288114704091047</v>
      </c>
      <c r="U813" s="81">
        <f t="shared" si="240"/>
        <v>6.8900702518961205</v>
      </c>
      <c r="V813" s="81">
        <f t="shared" si="240"/>
        <v>7.7513290333831364</v>
      </c>
    </row>
    <row r="814" spans="1:22">
      <c r="A814" s="41" t="s">
        <v>220</v>
      </c>
      <c r="B814" s="151">
        <f>B812</f>
        <v>31.548860474507968</v>
      </c>
      <c r="C814" s="152">
        <v>1.6E-2</v>
      </c>
      <c r="D814" s="138">
        <v>150</v>
      </c>
      <c r="E814" s="151">
        <f t="shared" si="241"/>
        <v>208</v>
      </c>
      <c r="F814" s="153">
        <f t="shared" si="242"/>
        <v>0.23105360443622919</v>
      </c>
      <c r="G814" s="154">
        <f t="shared" si="243"/>
        <v>7.2894779284907498</v>
      </c>
      <c r="K814" s="81">
        <f t="shared" si="244"/>
        <v>3.3643744285341919</v>
      </c>
      <c r="L814" s="81">
        <f t="shared" si="237"/>
        <v>3.9251034999565571</v>
      </c>
      <c r="M814" s="81">
        <f t="shared" si="237"/>
        <v>4.4858325713789231</v>
      </c>
      <c r="N814" s="81">
        <f t="shared" si="237"/>
        <v>5.0465616428012883</v>
      </c>
      <c r="P814" s="162">
        <f t="shared" si="238"/>
        <v>498.42584126432473</v>
      </c>
      <c r="Q814" s="162">
        <f t="shared" si="239"/>
        <v>771.93011476859817</v>
      </c>
      <c r="S814" s="81">
        <f t="shared" si="240"/>
        <v>5.2105282746880386</v>
      </c>
      <c r="T814" s="81">
        <f t="shared" si="240"/>
        <v>6.0789496538027112</v>
      </c>
      <c r="U814" s="81">
        <f t="shared" si="240"/>
        <v>6.9473710329173857</v>
      </c>
      <c r="V814" s="81">
        <f t="shared" si="240"/>
        <v>7.8157924120320574</v>
      </c>
    </row>
    <row r="815" spans="1:22">
      <c r="D815" s="92"/>
    </row>
    <row r="816" spans="1:22">
      <c r="D816" s="92"/>
    </row>
    <row r="817" spans="1:19">
      <c r="D817" s="92"/>
    </row>
    <row r="818" spans="1:19">
      <c r="D818" s="92"/>
    </row>
    <row r="819" spans="1:19">
      <c r="D819" s="92"/>
    </row>
    <row r="820" spans="1:19">
      <c r="D820" s="92"/>
    </row>
    <row r="821" spans="1:19">
      <c r="D821" s="92"/>
    </row>
    <row r="822" spans="1:19">
      <c r="D822" s="92"/>
    </row>
    <row r="823" spans="1:19">
      <c r="D823" s="92"/>
    </row>
    <row r="824" spans="1:19">
      <c r="D824" s="92"/>
    </row>
    <row r="825" spans="1:19">
      <c r="D825" s="92"/>
    </row>
    <row r="826" spans="1:19" ht="18.75">
      <c r="A826" s="50" t="s">
        <v>1266</v>
      </c>
      <c r="D826" s="92"/>
    </row>
    <row r="827" spans="1:19">
      <c r="A827" s="19" t="s">
        <v>35</v>
      </c>
      <c r="B827" s="20" t="str">
        <f>'RICON-S'!E6</f>
        <v>GL24h</v>
      </c>
      <c r="D827" s="92"/>
    </row>
    <row r="828" spans="1:19" ht="18">
      <c r="A828" s="21" t="s">
        <v>37</v>
      </c>
      <c r="B828">
        <f>VLOOKUP(B827,$V$7:$W$18,2,FALSE)</f>
        <v>385</v>
      </c>
      <c r="C828" t="s">
        <v>38</v>
      </c>
    </row>
    <row r="829" spans="1:19" ht="18">
      <c r="A829" s="21" t="s">
        <v>59</v>
      </c>
      <c r="B829" s="49">
        <v>35000</v>
      </c>
      <c r="C829" s="49">
        <v>20000</v>
      </c>
      <c r="D829" t="s">
        <v>60</v>
      </c>
    </row>
    <row r="830" spans="1:19">
      <c r="A830" s="21" t="s">
        <v>61</v>
      </c>
      <c r="B830" s="49">
        <v>10</v>
      </c>
      <c r="C830" s="49">
        <v>8</v>
      </c>
      <c r="D830" t="s">
        <v>62</v>
      </c>
    </row>
    <row r="831" spans="1:19" ht="18">
      <c r="A831" s="21" t="s">
        <v>63</v>
      </c>
      <c r="B831" s="69">
        <f>0.033*$B$828*B830^-0.3</f>
        <v>6.3675838032344938</v>
      </c>
      <c r="C831" s="69">
        <f>0.033*$B$828*C830^-0.3</f>
        <v>6.808440920761802</v>
      </c>
      <c r="D831" t="s">
        <v>64</v>
      </c>
      <c r="P831"/>
      <c r="Q831"/>
      <c r="R831"/>
      <c r="S831"/>
    </row>
    <row r="832" spans="1:19" ht="18">
      <c r="A832" s="21" t="s">
        <v>65</v>
      </c>
      <c r="B832" s="70">
        <f>0.082*B830^-0.3*$B$828</f>
        <v>15.822480965612984</v>
      </c>
      <c r="C832" s="70">
        <f>0.082*C830^-0.3*$B$828</f>
        <v>16.917944106135387</v>
      </c>
      <c r="D832" t="s">
        <v>64</v>
      </c>
      <c r="P832"/>
      <c r="Q832"/>
      <c r="R832"/>
      <c r="S832"/>
    </row>
    <row r="834" spans="1:19" ht="18.75">
      <c r="A834" s="50" t="s">
        <v>1267</v>
      </c>
      <c r="D834" s="92"/>
    </row>
    <row r="835" spans="1:19">
      <c r="A835" s="19" t="s">
        <v>35</v>
      </c>
      <c r="B835" s="20" t="str">
        <f>'RICON-S'!E40</f>
        <v>GL24h</v>
      </c>
      <c r="D835" s="92"/>
    </row>
    <row r="836" spans="1:19" ht="18">
      <c r="A836" s="21" t="s">
        <v>37</v>
      </c>
      <c r="B836">
        <f>VLOOKUP(B835,$V$7:$W$18,2,FALSE)</f>
        <v>385</v>
      </c>
      <c r="C836" t="s">
        <v>38</v>
      </c>
    </row>
    <row r="837" spans="1:19" ht="18">
      <c r="A837" s="21" t="s">
        <v>59</v>
      </c>
      <c r="B837" s="49">
        <v>35000</v>
      </c>
      <c r="C837" s="49">
        <v>20000</v>
      </c>
      <c r="D837" t="s">
        <v>60</v>
      </c>
    </row>
    <row r="838" spans="1:19">
      <c r="A838" s="21" t="s">
        <v>61</v>
      </c>
      <c r="B838" s="49">
        <v>10</v>
      </c>
      <c r="C838" s="49">
        <v>8</v>
      </c>
      <c r="D838" t="s">
        <v>62</v>
      </c>
    </row>
    <row r="839" spans="1:19" ht="18">
      <c r="A839" s="21" t="s">
        <v>63</v>
      </c>
      <c r="B839" s="69">
        <f>0.033*$B$836*B838^-0.3</f>
        <v>6.3675838032344938</v>
      </c>
      <c r="C839" s="69">
        <f>0.033*$B$836*C838^-0.3</f>
        <v>6.808440920761802</v>
      </c>
      <c r="D839" t="s">
        <v>64</v>
      </c>
    </row>
    <row r="840" spans="1:19" ht="18">
      <c r="A840" s="21" t="s">
        <v>65</v>
      </c>
      <c r="B840" s="70">
        <f>0.082*B838^-0.3*$B$836</f>
        <v>15.822480965612984</v>
      </c>
      <c r="C840" s="70">
        <f>0.082*C838^-0.3*$B$836</f>
        <v>16.917944106135387</v>
      </c>
      <c r="D840" t="s">
        <v>64</v>
      </c>
      <c r="P840"/>
      <c r="Q840"/>
      <c r="R840"/>
      <c r="S840"/>
    </row>
    <row r="841" spans="1:19">
      <c r="P841"/>
      <c r="Q841"/>
      <c r="R841"/>
      <c r="S841"/>
    </row>
    <row r="842" spans="1:19" ht="18">
      <c r="A842" s="3" t="s">
        <v>2</v>
      </c>
      <c r="B842" s="4" t="s">
        <v>41</v>
      </c>
      <c r="C842" s="4" t="s">
        <v>9</v>
      </c>
      <c r="D842" s="4" t="s">
        <v>42</v>
      </c>
      <c r="E842" s="4" t="s">
        <v>56</v>
      </c>
      <c r="F842" s="4" t="s">
        <v>57</v>
      </c>
      <c r="G842" s="4" t="s">
        <v>226</v>
      </c>
      <c r="H842" s="29"/>
      <c r="I842" s="2"/>
      <c r="J842" s="2"/>
      <c r="K842" s="2"/>
      <c r="P842"/>
      <c r="Q842"/>
      <c r="R842"/>
      <c r="S842"/>
    </row>
    <row r="843" spans="1:19">
      <c r="A843" s="7"/>
      <c r="B843" s="8" t="s">
        <v>19</v>
      </c>
      <c r="C843" s="8" t="s">
        <v>18</v>
      </c>
      <c r="D843" s="8" t="s">
        <v>18</v>
      </c>
      <c r="E843" s="8" t="s">
        <v>17</v>
      </c>
      <c r="F843" s="8" t="s">
        <v>17</v>
      </c>
      <c r="G843" s="8" t="s">
        <v>17</v>
      </c>
      <c r="H843" s="29"/>
      <c r="I843" s="2"/>
      <c r="J843" s="2"/>
      <c r="K843" s="2"/>
      <c r="P843"/>
      <c r="Q843"/>
      <c r="R843"/>
      <c r="S843"/>
    </row>
    <row r="844" spans="1:19" ht="45">
      <c r="A844" s="269" t="s">
        <v>1052</v>
      </c>
      <c r="B844" s="57">
        <v>8</v>
      </c>
      <c r="C844" s="57">
        <v>8</v>
      </c>
      <c r="D844" s="212">
        <v>137</v>
      </c>
      <c r="E844" s="58">
        <f>(0.3*0.52*SQRT(C844)*D844^0.9*$B$836^0.8)/1000</f>
        <v>4.3260017012857244</v>
      </c>
      <c r="F844" s="58">
        <f>MIN(2.3*SQRT($C$837*$C$839*$C$838)/1000+(E844/4),$C$838*$C$839*D844/1000,$C$838*$C$839*D844/1000*(SQRT(2+4*$C$837/($C$838*$C$839*D844^2))-1)+E844/4)</f>
        <v>3.482055443506348</v>
      </c>
      <c r="G844" s="325">
        <f t="shared" ref="G844:G851" si="245">F844</f>
        <v>3.482055443506348</v>
      </c>
      <c r="H844" s="240"/>
      <c r="I844" s="218"/>
      <c r="J844" s="110"/>
      <c r="K844" s="110"/>
      <c r="P844"/>
      <c r="Q844"/>
      <c r="R844"/>
      <c r="S844"/>
    </row>
    <row r="845" spans="1:19" ht="45">
      <c r="A845" s="224" t="s">
        <v>1053</v>
      </c>
      <c r="B845" s="57">
        <v>8</v>
      </c>
      <c r="C845" s="57">
        <v>8</v>
      </c>
      <c r="D845" s="212">
        <v>137</v>
      </c>
      <c r="E845" s="58">
        <f t="shared" ref="E845:E847" si="246">(0.3*0.52*SQRT(C845)*D845^0.9*$B$836^0.8)/1000</f>
        <v>4.3260017012857244</v>
      </c>
      <c r="F845" s="58">
        <f t="shared" ref="F845:F847" si="247">MIN(2.3*SQRT($C$837*$C$839*$C$838)/1000+(E845/4),$C$838*$C$839*D845/1000,$C$838*$C$839*D845/1000*(SQRT(2+4*$C$837/($C$838*$C$839*D845^2))-1)+E845/4)</f>
        <v>3.482055443506348</v>
      </c>
      <c r="G845" s="325">
        <f t="shared" si="245"/>
        <v>3.482055443506348</v>
      </c>
      <c r="H845" s="240"/>
      <c r="I845" s="218"/>
      <c r="J845" s="110"/>
      <c r="K845" s="110"/>
      <c r="P845"/>
      <c r="Q845"/>
      <c r="R845"/>
      <c r="S845"/>
    </row>
    <row r="846" spans="1:19" ht="45">
      <c r="A846" s="224" t="s">
        <v>1054</v>
      </c>
      <c r="B846" s="57">
        <v>9</v>
      </c>
      <c r="C846" s="57">
        <v>8</v>
      </c>
      <c r="D846" s="212">
        <v>137</v>
      </c>
      <c r="E846" s="58">
        <f t="shared" si="246"/>
        <v>4.3260017012857244</v>
      </c>
      <c r="F846" s="58">
        <f t="shared" si="247"/>
        <v>3.482055443506348</v>
      </c>
      <c r="G846" s="325">
        <f t="shared" si="245"/>
        <v>3.482055443506348</v>
      </c>
      <c r="H846" s="240"/>
      <c r="I846" s="218"/>
      <c r="J846" s="110"/>
      <c r="K846" s="110"/>
      <c r="P846"/>
      <c r="Q846"/>
      <c r="R846"/>
      <c r="S846"/>
    </row>
    <row r="847" spans="1:19" ht="45.75" thickBot="1">
      <c r="A847" s="421" t="s">
        <v>1055</v>
      </c>
      <c r="B847" s="287">
        <v>9</v>
      </c>
      <c r="C847" s="287">
        <v>8</v>
      </c>
      <c r="D847" s="286">
        <v>137</v>
      </c>
      <c r="E847" s="323">
        <f t="shared" si="246"/>
        <v>4.3260017012857244</v>
      </c>
      <c r="F847" s="323">
        <f t="shared" si="247"/>
        <v>3.482055443506348</v>
      </c>
      <c r="G847" s="323">
        <f t="shared" si="245"/>
        <v>3.482055443506348</v>
      </c>
      <c r="H847" s="240"/>
      <c r="I847" s="218"/>
      <c r="J847" s="110"/>
      <c r="K847" s="110"/>
      <c r="P847"/>
      <c r="Q847"/>
      <c r="R847"/>
      <c r="S847"/>
    </row>
    <row r="848" spans="1:19" ht="45.75" thickTop="1">
      <c r="A848" s="269" t="s">
        <v>1056</v>
      </c>
      <c r="B848" s="261">
        <v>9</v>
      </c>
      <c r="C848" s="261">
        <v>10</v>
      </c>
      <c r="D848" s="260">
        <v>175</v>
      </c>
      <c r="E848" s="325">
        <f>(0.3*0.52*SQRT(C848)*D848^0.9*$B$836^0.8)/1000</f>
        <v>6.0287520940422592</v>
      </c>
      <c r="F848" s="325">
        <f>MIN(2.3*SQRT($B$837*$B$839*$B$838)/1000+(E848/4),$B$838*$B$839*D848/1000,$B$838*$B$839*D848/1000*(SQRT(2+4*$B$837/($B$838*$B$839*D848^2))-1)+E848/4)</f>
        <v>4.9407840119298001</v>
      </c>
      <c r="G848" s="325">
        <f t="shared" si="245"/>
        <v>4.9407840119298001</v>
      </c>
      <c r="H848" s="240"/>
      <c r="I848" s="218"/>
      <c r="J848" s="110"/>
      <c r="K848" s="110"/>
      <c r="P848"/>
      <c r="Q848"/>
      <c r="R848"/>
      <c r="S848"/>
    </row>
    <row r="849" spans="1:19" ht="45">
      <c r="A849" s="224" t="s">
        <v>1057</v>
      </c>
      <c r="B849" s="57">
        <v>9</v>
      </c>
      <c r="C849" s="57">
        <v>10</v>
      </c>
      <c r="D849" s="212">
        <v>175</v>
      </c>
      <c r="E849" s="325">
        <f t="shared" ref="E849:E851" si="248">(0.3*0.52*SQRT(C849)*D849^0.9*$B$836^0.8)/1000</f>
        <v>6.0287520940422592</v>
      </c>
      <c r="F849" s="325">
        <f t="shared" ref="F849:F851" si="249">MIN(2.3*SQRT($B$837*$B$839*$B$838)/1000+(E849/4),$B$838*$B$839*D849/1000,$B$838*$B$839*D849/1000*(SQRT(2+4*$B$837/($B$838*$B$839*D849^2))-1)+E849/4)</f>
        <v>4.9407840119298001</v>
      </c>
      <c r="G849" s="325">
        <f t="shared" si="245"/>
        <v>4.9407840119298001</v>
      </c>
      <c r="H849" s="240"/>
      <c r="I849" s="218"/>
      <c r="J849" s="110"/>
      <c r="K849" s="110"/>
      <c r="P849"/>
      <c r="Q849"/>
      <c r="R849"/>
      <c r="S849"/>
    </row>
    <row r="850" spans="1:19" ht="45">
      <c r="A850" s="224" t="s">
        <v>1058</v>
      </c>
      <c r="B850" s="57">
        <v>9</v>
      </c>
      <c r="C850" s="57">
        <v>10</v>
      </c>
      <c r="D850" s="212">
        <v>175</v>
      </c>
      <c r="E850" s="325">
        <f t="shared" si="248"/>
        <v>6.0287520940422592</v>
      </c>
      <c r="F850" s="325">
        <f t="shared" si="249"/>
        <v>4.9407840119298001</v>
      </c>
      <c r="G850" s="325">
        <f t="shared" si="245"/>
        <v>4.9407840119298001</v>
      </c>
      <c r="H850" s="240"/>
      <c r="I850" s="218"/>
      <c r="J850" s="110"/>
      <c r="K850" s="110"/>
      <c r="P850"/>
      <c r="Q850"/>
      <c r="R850"/>
      <c r="S850"/>
    </row>
    <row r="851" spans="1:19" ht="45.75" thickBot="1">
      <c r="A851" s="585" t="s">
        <v>1059</v>
      </c>
      <c r="B851" s="562">
        <v>9</v>
      </c>
      <c r="C851" s="562">
        <v>10</v>
      </c>
      <c r="D851" s="518">
        <v>175</v>
      </c>
      <c r="E851" s="586">
        <f t="shared" si="248"/>
        <v>6.0287520940422592</v>
      </c>
      <c r="F851" s="586">
        <f t="shared" si="249"/>
        <v>4.9407840119298001</v>
      </c>
      <c r="G851" s="586">
        <f t="shared" si="245"/>
        <v>4.9407840119298001</v>
      </c>
      <c r="H851" s="240"/>
      <c r="I851" s="218"/>
      <c r="J851" s="110"/>
      <c r="K851" s="110"/>
      <c r="P851"/>
      <c r="Q851"/>
      <c r="R851"/>
      <c r="S851"/>
    </row>
    <row r="852" spans="1:19" ht="45">
      <c r="A852" s="269" t="s">
        <v>1024</v>
      </c>
      <c r="B852" s="261">
        <v>7</v>
      </c>
      <c r="C852" s="261">
        <v>8</v>
      </c>
      <c r="D852" s="260">
        <f>160-15</f>
        <v>145</v>
      </c>
      <c r="E852" s="325">
        <f t="shared" ref="E852:E861" si="250">($E$862*0.52*SQRT(C852)*D852^0.9*$B$828^0.8)/1000</f>
        <v>4.5527036065307724</v>
      </c>
      <c r="F852" s="325">
        <f t="shared" ref="F852:F857" si="251">MIN(2.3*SQRT($C$829*$C$831*$C$830)/1000+(E852/4),$C$830*$C$831*D852/1000,$C$830*$C$831*D852/1000*(SQRT(2+4*$C$829/($C$830*$C$831*D852^2))-1)+E852/4)</f>
        <v>3.5387309198176098</v>
      </c>
      <c r="G852" s="325">
        <f t="shared" ref="G852" si="252">F852</f>
        <v>3.5387309198176098</v>
      </c>
      <c r="H852" s="240"/>
      <c r="I852" s="218"/>
      <c r="J852" s="110"/>
      <c r="K852" s="110"/>
      <c r="P852"/>
      <c r="Q852"/>
      <c r="R852"/>
      <c r="S852"/>
    </row>
    <row r="853" spans="1:19" ht="45">
      <c r="A853" s="269" t="s">
        <v>1025</v>
      </c>
      <c r="B853" s="57">
        <v>10</v>
      </c>
      <c r="C853" s="57">
        <v>8</v>
      </c>
      <c r="D853" s="212">
        <f>160-15</f>
        <v>145</v>
      </c>
      <c r="E853" s="58">
        <f t="shared" si="250"/>
        <v>4.5527036065307724</v>
      </c>
      <c r="F853" s="58">
        <f t="shared" si="251"/>
        <v>3.5387309198176098</v>
      </c>
      <c r="G853" s="58">
        <f t="shared" ref="G853:G861" si="253">F853</f>
        <v>3.5387309198176098</v>
      </c>
      <c r="I853" s="218"/>
      <c r="J853" s="110"/>
      <c r="K853" s="110"/>
      <c r="P853"/>
      <c r="Q853"/>
      <c r="R853"/>
      <c r="S853"/>
    </row>
    <row r="854" spans="1:19" ht="45">
      <c r="A854" s="224" t="s">
        <v>1026</v>
      </c>
      <c r="B854" s="57">
        <v>10</v>
      </c>
      <c r="C854" s="57">
        <v>8</v>
      </c>
      <c r="D854" s="212">
        <f>240-15</f>
        <v>225</v>
      </c>
      <c r="E854" s="58">
        <f t="shared" si="250"/>
        <v>6.760867765807113</v>
      </c>
      <c r="F854" s="58">
        <f t="shared" si="251"/>
        <v>4.0907719596366956</v>
      </c>
      <c r="G854" s="58">
        <f t="shared" si="253"/>
        <v>4.0907719596366956</v>
      </c>
      <c r="I854" s="218"/>
      <c r="J854" s="110"/>
      <c r="K854" s="110"/>
      <c r="P854"/>
      <c r="Q854"/>
      <c r="R854"/>
      <c r="S854"/>
    </row>
    <row r="855" spans="1:19" ht="45">
      <c r="A855" s="224" t="s">
        <v>1027</v>
      </c>
      <c r="B855" s="57">
        <v>8</v>
      </c>
      <c r="C855" s="57">
        <v>8</v>
      </c>
      <c r="D855" s="212">
        <f>160-15</f>
        <v>145</v>
      </c>
      <c r="E855" s="58">
        <f t="shared" si="250"/>
        <v>4.5527036065307724</v>
      </c>
      <c r="F855" s="58">
        <f t="shared" si="251"/>
        <v>3.5387309198176098</v>
      </c>
      <c r="G855" s="58">
        <f t="shared" ref="G855" si="254">F855</f>
        <v>3.5387309198176098</v>
      </c>
      <c r="I855" s="218"/>
      <c r="J855" s="110"/>
      <c r="K855" s="110"/>
      <c r="P855"/>
      <c r="Q855"/>
      <c r="R855"/>
      <c r="S855"/>
    </row>
    <row r="856" spans="1:19" ht="45">
      <c r="A856" s="224" t="s">
        <v>1028</v>
      </c>
      <c r="B856" s="57">
        <v>16</v>
      </c>
      <c r="C856" s="57">
        <v>8</v>
      </c>
      <c r="D856" s="212">
        <f>160-15</f>
        <v>145</v>
      </c>
      <c r="E856" s="58">
        <f t="shared" si="250"/>
        <v>4.5527036065307724</v>
      </c>
      <c r="F856" s="58">
        <f t="shared" si="251"/>
        <v>3.5387309198176098</v>
      </c>
      <c r="G856" s="58">
        <f t="shared" si="253"/>
        <v>3.5387309198176098</v>
      </c>
      <c r="I856" s="218"/>
      <c r="J856" s="110"/>
      <c r="K856" s="110"/>
      <c r="P856"/>
      <c r="Q856"/>
      <c r="R856"/>
      <c r="S856"/>
    </row>
    <row r="857" spans="1:19" ht="45">
      <c r="A857" s="224" t="s">
        <v>1029</v>
      </c>
      <c r="B857" s="57">
        <v>16</v>
      </c>
      <c r="C857" s="57">
        <v>8</v>
      </c>
      <c r="D857" s="212">
        <f>240-15</f>
        <v>225</v>
      </c>
      <c r="E857" s="58">
        <f t="shared" si="250"/>
        <v>6.760867765807113</v>
      </c>
      <c r="F857" s="58">
        <f t="shared" si="251"/>
        <v>4.0907719596366956</v>
      </c>
      <c r="G857" s="58">
        <f t="shared" si="253"/>
        <v>4.0907719596366956</v>
      </c>
      <c r="I857" s="218"/>
      <c r="J857" s="110"/>
      <c r="K857" s="110"/>
      <c r="P857"/>
      <c r="Q857"/>
      <c r="R857"/>
      <c r="S857"/>
    </row>
    <row r="858" spans="1:19" ht="45">
      <c r="A858" s="224" t="s">
        <v>1030</v>
      </c>
      <c r="B858" s="57">
        <v>8</v>
      </c>
      <c r="C858" s="57">
        <v>10</v>
      </c>
      <c r="D858" s="212">
        <f>200-20</f>
        <v>180</v>
      </c>
      <c r="E858" s="58">
        <f t="shared" si="250"/>
        <v>6.1835579694324156</v>
      </c>
      <c r="F858" s="58">
        <f>MIN(2.3*SQRT($B$829*$B$831*$B$830)/1000+(E858/4),$B$830*$B$831*D858/1000,$B$830*$B$831*D858/1000*(SQRT(2+4*$B$829/($B$830*$B$831*D858^2))-1)+E858/4)</f>
        <v>4.9794854807773392</v>
      </c>
      <c r="G858" s="58">
        <f t="shared" ref="G858" si="255">F858</f>
        <v>4.9794854807773392</v>
      </c>
      <c r="I858" s="218"/>
      <c r="J858" s="110"/>
      <c r="K858" s="110"/>
      <c r="P858"/>
      <c r="Q858"/>
      <c r="R858"/>
      <c r="S858"/>
    </row>
    <row r="859" spans="1:19" ht="45">
      <c r="A859" s="224" t="s">
        <v>1031</v>
      </c>
      <c r="B859" s="57">
        <v>16</v>
      </c>
      <c r="C859" s="57">
        <v>10</v>
      </c>
      <c r="D859" s="212">
        <f>200-20</f>
        <v>180</v>
      </c>
      <c r="E859" s="58">
        <f t="shared" si="250"/>
        <v>6.1835579694324156</v>
      </c>
      <c r="F859" s="58">
        <f>MIN(2.3*SQRT($B$829*$B$831*$B$830)/1000+(E859/4),$B$830*$B$831*D859/1000,$B$830*$B$831*D859/1000*(SQRT(2+4*$B$829/($B$830*$B$831*D859^2))-1)+E859/4)</f>
        <v>4.9794854807773392</v>
      </c>
      <c r="G859" s="58">
        <f t="shared" si="253"/>
        <v>4.9794854807773392</v>
      </c>
      <c r="I859" s="218"/>
      <c r="J859" s="110"/>
      <c r="K859" s="110"/>
      <c r="P859"/>
      <c r="Q859"/>
      <c r="R859"/>
      <c r="S859"/>
    </row>
    <row r="860" spans="1:19" ht="45">
      <c r="A860" s="224" t="s">
        <v>1032</v>
      </c>
      <c r="B860" s="57">
        <v>8</v>
      </c>
      <c r="C860" s="57">
        <v>10</v>
      </c>
      <c r="D860" s="212">
        <f>200-20</f>
        <v>180</v>
      </c>
      <c r="E860" s="58">
        <f t="shared" si="250"/>
        <v>6.1835579694324156</v>
      </c>
      <c r="F860" s="58">
        <f>MIN(2.3*SQRT($B$829*$B$831*$B$830)/1000+(E860/4),$B$830*$B$831*D860/1000,$B$830*$B$831*D860/1000*(SQRT(2+4*$B$829/($B$830*$B$831*D860^2))-1)+E860/4)</f>
        <v>4.9794854807773392</v>
      </c>
      <c r="G860" s="58">
        <f t="shared" ref="G860" si="256">F860</f>
        <v>4.9794854807773392</v>
      </c>
      <c r="I860" s="218"/>
      <c r="J860" s="110"/>
      <c r="K860" s="110"/>
      <c r="P860"/>
      <c r="Q860"/>
      <c r="R860"/>
      <c r="S860"/>
    </row>
    <row r="861" spans="1:19" ht="45">
      <c r="A861" s="224" t="s">
        <v>1033</v>
      </c>
      <c r="B861" s="57">
        <v>25</v>
      </c>
      <c r="C861" s="57">
        <v>10</v>
      </c>
      <c r="D861" s="212">
        <f>200-20</f>
        <v>180</v>
      </c>
      <c r="E861" s="58">
        <f t="shared" si="250"/>
        <v>6.1835579694324156</v>
      </c>
      <c r="F861" s="58">
        <f>MIN(2.3*SQRT($B$829*$B$831*$B$830)/1000+(E861/4),$B$830*$B$831*D861/1000,$B$830*$B$831*D861/1000*(SQRT(2+4*$B$829/($B$830*$B$831*D861^2))-1)+E861/4)</f>
        <v>4.9794854807773392</v>
      </c>
      <c r="G861" s="58">
        <f t="shared" si="253"/>
        <v>4.9794854807773392</v>
      </c>
      <c r="I861" s="218"/>
      <c r="J861" s="110"/>
      <c r="K861" s="110"/>
      <c r="P861"/>
      <c r="Q861"/>
      <c r="R861"/>
      <c r="S861"/>
    </row>
    <row r="862" spans="1:19">
      <c r="D862" s="21" t="s">
        <v>294</v>
      </c>
      <c r="E862" s="275">
        <v>0.3</v>
      </c>
    </row>
    <row r="864" spans="1:19">
      <c r="P864"/>
      <c r="Q864"/>
      <c r="R864"/>
      <c r="S864"/>
    </row>
    <row r="865" spans="1:24" ht="18">
      <c r="A865" s="3" t="s">
        <v>2</v>
      </c>
      <c r="B865" s="4" t="s">
        <v>165</v>
      </c>
      <c r="C865" s="4" t="s">
        <v>150</v>
      </c>
      <c r="D865" s="4" t="s">
        <v>155</v>
      </c>
      <c r="E865" s="4" t="s">
        <v>175</v>
      </c>
      <c r="F865" s="4" t="s">
        <v>153</v>
      </c>
      <c r="G865" s="4" t="s">
        <v>176</v>
      </c>
      <c r="I865" s="2"/>
      <c r="J865" s="2"/>
      <c r="K865" s="2"/>
      <c r="L865" s="2"/>
      <c r="P865"/>
      <c r="Q865"/>
      <c r="R865"/>
      <c r="S865"/>
    </row>
    <row r="866" spans="1:24">
      <c r="A866" s="7"/>
      <c r="B866" s="56" t="s">
        <v>17</v>
      </c>
      <c r="C866" s="8" t="s">
        <v>19</v>
      </c>
      <c r="D866" s="8" t="s">
        <v>75</v>
      </c>
      <c r="E866" s="8" t="s">
        <v>75</v>
      </c>
      <c r="F866" s="8" t="s">
        <v>18</v>
      </c>
      <c r="G866" s="8" t="s">
        <v>17</v>
      </c>
      <c r="H866" s="2"/>
      <c r="I866" s="2"/>
      <c r="J866" s="2"/>
      <c r="K866" s="2"/>
      <c r="L866" s="2"/>
      <c r="P866"/>
      <c r="Q866"/>
      <c r="R866"/>
      <c r="S866"/>
    </row>
    <row r="867" spans="1:24" ht="45">
      <c r="A867" s="269" t="s">
        <v>1052</v>
      </c>
      <c r="B867" s="212">
        <f t="shared" ref="B867:B880" si="257">G844</f>
        <v>3.482055443506348</v>
      </c>
      <c r="C867" s="57">
        <f>B844</f>
        <v>8</v>
      </c>
      <c r="D867" s="57">
        <v>247</v>
      </c>
      <c r="E867" s="581">
        <v>529</v>
      </c>
      <c r="F867" s="278">
        <v>0</v>
      </c>
      <c r="G867" s="582">
        <f t="shared" ref="G867:G884" si="258">B867/(SQRT((1/C867+F867/D867)^2+(F867/E867)^2))</f>
        <v>27.856443548050784</v>
      </c>
      <c r="H867" s="165"/>
      <c r="I867" s="155"/>
      <c r="J867" s="92"/>
      <c r="K867" s="92"/>
      <c r="L867" s="92"/>
      <c r="P867"/>
      <c r="Q867"/>
      <c r="R867"/>
      <c r="S867"/>
    </row>
    <row r="868" spans="1:24" ht="45">
      <c r="A868" s="224" t="s">
        <v>1053</v>
      </c>
      <c r="B868" s="212">
        <f t="shared" si="257"/>
        <v>3.482055443506348</v>
      </c>
      <c r="C868" s="57">
        <f t="shared" ref="C868:C874" si="259">B845</f>
        <v>8</v>
      </c>
      <c r="D868" s="57">
        <v>247</v>
      </c>
      <c r="E868" s="581">
        <v>529</v>
      </c>
      <c r="F868" s="278">
        <f t="shared" ref="F868:F884" si="260">F867</f>
        <v>0</v>
      </c>
      <c r="G868" s="582">
        <f t="shared" si="258"/>
        <v>27.856443548050784</v>
      </c>
      <c r="H868" s="165"/>
      <c r="I868" s="155"/>
      <c r="J868" s="92"/>
      <c r="K868" s="92"/>
      <c r="L868" s="92"/>
      <c r="P868"/>
      <c r="Q868"/>
      <c r="R868"/>
      <c r="S868"/>
    </row>
    <row r="869" spans="1:24" ht="45">
      <c r="A869" s="224" t="s">
        <v>1054</v>
      </c>
      <c r="B869" s="212">
        <f t="shared" si="257"/>
        <v>3.482055443506348</v>
      </c>
      <c r="C869" s="57">
        <f t="shared" si="259"/>
        <v>9</v>
      </c>
      <c r="D869" s="57">
        <v>318</v>
      </c>
      <c r="E869" s="581">
        <v>868</v>
      </c>
      <c r="F869" s="278">
        <f t="shared" si="260"/>
        <v>0</v>
      </c>
      <c r="G869" s="582">
        <f t="shared" si="258"/>
        <v>31.338498991557135</v>
      </c>
      <c r="H869" s="165"/>
      <c r="I869" s="155"/>
      <c r="J869" s="92"/>
      <c r="K869" s="92"/>
      <c r="L869" s="92"/>
      <c r="P869"/>
      <c r="Q869"/>
      <c r="R869"/>
      <c r="S869"/>
    </row>
    <row r="870" spans="1:24" ht="45.75" thickBot="1">
      <c r="A870" s="421" t="s">
        <v>1055</v>
      </c>
      <c r="B870" s="286">
        <f t="shared" si="257"/>
        <v>3.482055443506348</v>
      </c>
      <c r="C870" s="287">
        <f t="shared" si="259"/>
        <v>9</v>
      </c>
      <c r="D870" s="287">
        <v>318</v>
      </c>
      <c r="E870" s="591">
        <v>868</v>
      </c>
      <c r="F870" s="317">
        <f t="shared" si="260"/>
        <v>0</v>
      </c>
      <c r="G870" s="286">
        <f t="shared" si="258"/>
        <v>31.338498991557135</v>
      </c>
      <c r="H870" s="165"/>
      <c r="I870" s="155"/>
      <c r="J870" s="92"/>
      <c r="K870" s="92"/>
      <c r="L870" s="92"/>
      <c r="P870"/>
      <c r="Q870"/>
      <c r="R870"/>
      <c r="S870"/>
    </row>
    <row r="871" spans="1:24" ht="45.75" thickTop="1">
      <c r="A871" s="269" t="s">
        <v>1056</v>
      </c>
      <c r="B871" s="260">
        <f t="shared" si="257"/>
        <v>4.9407840119298001</v>
      </c>
      <c r="C871" s="261">
        <f t="shared" si="259"/>
        <v>9</v>
      </c>
      <c r="D871" s="261">
        <v>360</v>
      </c>
      <c r="E871" s="587">
        <v>720</v>
      </c>
      <c r="F871" s="320">
        <f t="shared" si="260"/>
        <v>0</v>
      </c>
      <c r="G871" s="588">
        <f t="shared" si="258"/>
        <v>44.467056107368201</v>
      </c>
      <c r="H871" s="165"/>
      <c r="I871" s="155"/>
      <c r="J871" s="92"/>
      <c r="K871" s="92"/>
      <c r="L871" s="92"/>
    </row>
    <row r="872" spans="1:24" ht="45">
      <c r="A872" s="224" t="s">
        <v>1057</v>
      </c>
      <c r="B872" s="212">
        <f t="shared" si="257"/>
        <v>4.9407840119298001</v>
      </c>
      <c r="C872" s="57">
        <f t="shared" si="259"/>
        <v>9</v>
      </c>
      <c r="D872" s="57">
        <v>360</v>
      </c>
      <c r="E872" s="581">
        <v>720</v>
      </c>
      <c r="F872" s="278">
        <f t="shared" si="260"/>
        <v>0</v>
      </c>
      <c r="G872" s="582">
        <f t="shared" si="258"/>
        <v>44.467056107368201</v>
      </c>
      <c r="H872" s="165"/>
      <c r="I872" s="155"/>
      <c r="J872" s="92"/>
      <c r="K872" s="92"/>
      <c r="L872" s="92"/>
    </row>
    <row r="873" spans="1:24" ht="45">
      <c r="A873" s="224" t="s">
        <v>1058</v>
      </c>
      <c r="B873" s="212">
        <f t="shared" si="257"/>
        <v>4.9407840119298001</v>
      </c>
      <c r="C873" s="57">
        <f t="shared" si="259"/>
        <v>9</v>
      </c>
      <c r="D873" s="57">
        <v>566</v>
      </c>
      <c r="E873" s="581">
        <v>1980</v>
      </c>
      <c r="F873" s="278">
        <f t="shared" si="260"/>
        <v>0</v>
      </c>
      <c r="G873" s="582">
        <f t="shared" si="258"/>
        <v>44.467056107368201</v>
      </c>
      <c r="H873" s="165"/>
      <c r="I873" s="155"/>
      <c r="J873" s="92"/>
      <c r="K873" s="92"/>
      <c r="L873" s="92"/>
    </row>
    <row r="874" spans="1:24" ht="45.75" thickBot="1">
      <c r="A874" s="585" t="s">
        <v>1059</v>
      </c>
      <c r="B874" s="518">
        <f t="shared" si="257"/>
        <v>4.9407840119298001</v>
      </c>
      <c r="C874" s="562">
        <f t="shared" si="259"/>
        <v>9</v>
      </c>
      <c r="D874" s="562">
        <v>566</v>
      </c>
      <c r="E874" s="589">
        <v>1980</v>
      </c>
      <c r="F874" s="590">
        <f t="shared" si="260"/>
        <v>0</v>
      </c>
      <c r="G874" s="518">
        <f t="shared" si="258"/>
        <v>44.467056107368201</v>
      </c>
      <c r="H874" s="165"/>
      <c r="I874" s="155"/>
      <c r="J874" s="92"/>
      <c r="K874" s="92"/>
      <c r="L874" s="92"/>
    </row>
    <row r="875" spans="1:24" ht="45">
      <c r="A875" s="269" t="s">
        <v>1024</v>
      </c>
      <c r="B875" s="260">
        <f t="shared" si="257"/>
        <v>3.5387309198176098</v>
      </c>
      <c r="C875" s="261">
        <f>B852</f>
        <v>7</v>
      </c>
      <c r="D875" s="261">
        <v>247</v>
      </c>
      <c r="E875" s="587">
        <v>529</v>
      </c>
      <c r="F875" s="320">
        <f>F873</f>
        <v>0</v>
      </c>
      <c r="G875" s="588">
        <f t="shared" si="258"/>
        <v>24.771116438723269</v>
      </c>
      <c r="H875" s="165"/>
      <c r="I875" s="155"/>
      <c r="J875" s="92"/>
      <c r="K875" s="92"/>
      <c r="L875" s="92"/>
    </row>
    <row r="876" spans="1:24" ht="45">
      <c r="A876" s="269" t="s">
        <v>1025</v>
      </c>
      <c r="B876" s="212">
        <f t="shared" si="257"/>
        <v>3.5387309198176098</v>
      </c>
      <c r="C876" s="57">
        <f t="shared" ref="C876:C884" si="261">B853</f>
        <v>10</v>
      </c>
      <c r="D876" s="57">
        <v>313</v>
      </c>
      <c r="E876" s="581">
        <v>683</v>
      </c>
      <c r="F876" s="278">
        <f>F874</f>
        <v>0</v>
      </c>
      <c r="G876" s="582">
        <f t="shared" si="258"/>
        <v>35.387309198176098</v>
      </c>
      <c r="H876" s="165"/>
      <c r="I876" s="155"/>
      <c r="J876" s="92"/>
      <c r="K876" s="92"/>
      <c r="L876" s="92"/>
    </row>
    <row r="877" spans="1:24" ht="45">
      <c r="A877" s="224" t="s">
        <v>1026</v>
      </c>
      <c r="B877" s="212">
        <f t="shared" si="257"/>
        <v>4.0907719596366956</v>
      </c>
      <c r="C877" s="57">
        <f t="shared" si="261"/>
        <v>10</v>
      </c>
      <c r="D877" s="57">
        <v>313</v>
      </c>
      <c r="E877" s="581">
        <v>683</v>
      </c>
      <c r="F877" s="278">
        <f t="shared" si="260"/>
        <v>0</v>
      </c>
      <c r="G877" s="582">
        <f t="shared" si="258"/>
        <v>40.907719596366952</v>
      </c>
      <c r="H877" s="165"/>
      <c r="I877" s="155"/>
      <c r="J877" s="92"/>
      <c r="K877" s="92"/>
      <c r="L877" s="92"/>
    </row>
    <row r="878" spans="1:24" ht="45">
      <c r="A878" s="224" t="s">
        <v>1027</v>
      </c>
      <c r="B878" s="212">
        <f t="shared" si="257"/>
        <v>3.5387309198176098</v>
      </c>
      <c r="C878" s="57">
        <f t="shared" si="261"/>
        <v>8</v>
      </c>
      <c r="D878" s="57">
        <v>318</v>
      </c>
      <c r="E878" s="581">
        <v>868</v>
      </c>
      <c r="F878" s="278">
        <f t="shared" si="260"/>
        <v>0</v>
      </c>
      <c r="G878" s="582">
        <f t="shared" si="258"/>
        <v>28.309847358540878</v>
      </c>
      <c r="H878" s="165"/>
      <c r="I878" s="155"/>
      <c r="J878" s="92"/>
      <c r="K878" s="92"/>
      <c r="L878" s="92"/>
    </row>
    <row r="879" spans="1:24" ht="45">
      <c r="A879" s="224" t="s">
        <v>1028</v>
      </c>
      <c r="B879" s="212">
        <f t="shared" si="257"/>
        <v>3.5387309198176098</v>
      </c>
      <c r="C879" s="57">
        <f t="shared" si="261"/>
        <v>16</v>
      </c>
      <c r="D879" s="57">
        <v>590</v>
      </c>
      <c r="E879" s="581">
        <v>2061</v>
      </c>
      <c r="F879" s="278">
        <f t="shared" si="260"/>
        <v>0</v>
      </c>
      <c r="G879" s="582">
        <f t="shared" si="258"/>
        <v>56.619694717081757</v>
      </c>
      <c r="H879" s="165"/>
      <c r="I879" s="155"/>
      <c r="J879" s="92"/>
      <c r="K879" s="92"/>
      <c r="L879" s="92"/>
      <c r="U879" s="35"/>
      <c r="V879" s="35"/>
      <c r="W879" s="35"/>
      <c r="X879" s="35"/>
    </row>
    <row r="880" spans="1:24" ht="45">
      <c r="A880" s="224" t="s">
        <v>1029</v>
      </c>
      <c r="B880" s="212">
        <f t="shared" si="257"/>
        <v>4.0907719596366956</v>
      </c>
      <c r="C880" s="57">
        <f t="shared" si="261"/>
        <v>16</v>
      </c>
      <c r="D880" s="57">
        <v>590</v>
      </c>
      <c r="E880" s="581">
        <v>2061</v>
      </c>
      <c r="F880" s="278">
        <f t="shared" si="260"/>
        <v>0</v>
      </c>
      <c r="G880" s="582">
        <f t="shared" si="258"/>
        <v>65.45235135418713</v>
      </c>
      <c r="H880" s="165"/>
      <c r="I880" s="155"/>
      <c r="J880" s="92"/>
      <c r="K880" s="92"/>
      <c r="L880" s="92"/>
      <c r="U880" s="35"/>
      <c r="V880" s="35"/>
      <c r="W880" s="35"/>
      <c r="X880" s="35"/>
    </row>
    <row r="881" spans="1:24" ht="45">
      <c r="A881" s="224" t="s">
        <v>1030</v>
      </c>
      <c r="B881" s="212">
        <f t="shared" ref="B881:B884" si="262">G858</f>
        <v>4.9794854807773392</v>
      </c>
      <c r="C881" s="57">
        <f t="shared" si="261"/>
        <v>8</v>
      </c>
      <c r="D881" s="57">
        <v>360</v>
      </c>
      <c r="E881" s="581">
        <v>720</v>
      </c>
      <c r="F881" s="278">
        <f t="shared" si="260"/>
        <v>0</v>
      </c>
      <c r="G881" s="582">
        <f t="shared" si="258"/>
        <v>39.835883846218714</v>
      </c>
      <c r="H881" s="165"/>
      <c r="I881" s="155"/>
      <c r="J881" s="92"/>
      <c r="K881" s="92"/>
      <c r="L881" s="92"/>
      <c r="U881" s="35"/>
      <c r="V881" s="35"/>
      <c r="W881" s="35"/>
      <c r="X881" s="35"/>
    </row>
    <row r="882" spans="1:24" ht="45">
      <c r="A882" s="224" t="s">
        <v>1031</v>
      </c>
      <c r="B882" s="212">
        <f t="shared" si="262"/>
        <v>4.9794854807773392</v>
      </c>
      <c r="C882" s="57">
        <f t="shared" si="261"/>
        <v>16</v>
      </c>
      <c r="D882" s="57">
        <v>665</v>
      </c>
      <c r="E882" s="581">
        <v>1678</v>
      </c>
      <c r="F882" s="278">
        <f t="shared" si="260"/>
        <v>0</v>
      </c>
      <c r="G882" s="582">
        <f t="shared" si="258"/>
        <v>79.671767692437427</v>
      </c>
      <c r="H882" s="165"/>
      <c r="I882" s="155"/>
      <c r="J882" s="92"/>
      <c r="K882" s="92"/>
      <c r="L882" s="92"/>
      <c r="U882" s="35"/>
      <c r="V882" s="35"/>
      <c r="W882" s="35"/>
      <c r="X882" s="35"/>
    </row>
    <row r="883" spans="1:24" ht="45">
      <c r="A883" s="224" t="s">
        <v>1032</v>
      </c>
      <c r="B883" s="212">
        <f t="shared" si="262"/>
        <v>4.9794854807773392</v>
      </c>
      <c r="C883" s="57">
        <f t="shared" si="261"/>
        <v>8</v>
      </c>
      <c r="D883" s="57">
        <v>566</v>
      </c>
      <c r="E883" s="581">
        <v>1980</v>
      </c>
      <c r="F883" s="278">
        <f t="shared" si="260"/>
        <v>0</v>
      </c>
      <c r="G883" s="582">
        <f t="shared" si="258"/>
        <v>39.835883846218714</v>
      </c>
      <c r="H883" s="165"/>
      <c r="I883" s="155"/>
      <c r="J883" s="92"/>
      <c r="K883" s="92"/>
      <c r="L883" s="92"/>
      <c r="U883" s="35"/>
      <c r="V883" s="35"/>
      <c r="W883" s="35"/>
      <c r="X883" s="35"/>
    </row>
    <row r="884" spans="1:24" ht="45">
      <c r="A884" s="224" t="s">
        <v>1033</v>
      </c>
      <c r="B884" s="212">
        <f t="shared" si="262"/>
        <v>4.9794854807773392</v>
      </c>
      <c r="C884" s="57">
        <f t="shared" si="261"/>
        <v>25</v>
      </c>
      <c r="D884" s="57">
        <v>1284</v>
      </c>
      <c r="E884" s="581">
        <v>5189</v>
      </c>
      <c r="F884" s="278">
        <f t="shared" si="260"/>
        <v>0</v>
      </c>
      <c r="G884" s="582">
        <f t="shared" si="258"/>
        <v>124.48713701943348</v>
      </c>
      <c r="H884" s="165"/>
      <c r="I884" s="155"/>
      <c r="J884" s="92"/>
      <c r="K884" s="92"/>
      <c r="L884" s="92"/>
      <c r="U884" s="35"/>
      <c r="V884" s="35"/>
      <c r="W884" s="35"/>
      <c r="X884" s="35"/>
    </row>
    <row r="885" spans="1:24">
      <c r="B885" s="107"/>
      <c r="C885" s="107"/>
      <c r="D885" s="155"/>
      <c r="E885" s="92"/>
      <c r="F885" s="92"/>
      <c r="G885" s="107"/>
      <c r="H885" s="107"/>
      <c r="I885" s="155"/>
      <c r="J885" s="92"/>
      <c r="K885" s="92"/>
      <c r="L885" s="92"/>
      <c r="U885" s="35"/>
      <c r="V885" s="35"/>
      <c r="W885" s="35"/>
      <c r="X885" s="35"/>
    </row>
    <row r="886" spans="1:24">
      <c r="U886" s="35"/>
      <c r="V886" s="35"/>
      <c r="W886" s="35"/>
      <c r="X886" s="35"/>
    </row>
    <row r="887" spans="1:24" ht="18">
      <c r="A887" s="3" t="s">
        <v>2</v>
      </c>
      <c r="B887" s="4" t="s">
        <v>41</v>
      </c>
      <c r="C887" s="4" t="s">
        <v>9</v>
      </c>
      <c r="D887" s="4" t="s">
        <v>42</v>
      </c>
      <c r="E887" s="4" t="s">
        <v>66</v>
      </c>
      <c r="F887" s="4" t="s">
        <v>67</v>
      </c>
      <c r="G887" s="4" t="s">
        <v>227</v>
      </c>
      <c r="H887" s="29"/>
      <c r="I887" s="2"/>
      <c r="J887" s="2"/>
      <c r="K887" s="2"/>
      <c r="U887" s="35"/>
      <c r="V887" s="35"/>
      <c r="W887" s="35"/>
      <c r="X887" s="35"/>
    </row>
    <row r="888" spans="1:24">
      <c r="A888" s="7"/>
      <c r="B888" s="8" t="s">
        <v>19</v>
      </c>
      <c r="C888" s="8" t="s">
        <v>18</v>
      </c>
      <c r="D888" s="8" t="s">
        <v>18</v>
      </c>
      <c r="E888" s="8" t="s">
        <v>17</v>
      </c>
      <c r="F888" s="8" t="s">
        <v>17</v>
      </c>
      <c r="G888" s="56" t="s">
        <v>17</v>
      </c>
      <c r="H888" s="29"/>
      <c r="I888" s="2"/>
      <c r="J888" s="2"/>
      <c r="K888" s="2"/>
      <c r="U888" s="35"/>
      <c r="V888" s="35"/>
      <c r="W888" s="35"/>
      <c r="X888" s="35"/>
    </row>
    <row r="889" spans="1:24" ht="45">
      <c r="A889" s="269" t="s">
        <v>1052</v>
      </c>
      <c r="B889" s="57">
        <v>8</v>
      </c>
      <c r="C889" s="57">
        <v>8</v>
      </c>
      <c r="D889" s="212">
        <f>80-23</f>
        <v>57</v>
      </c>
      <c r="E889" s="58">
        <f>(0.52*SQRT(C889)*D889^0.9*$B$836^0.8)/1000</f>
        <v>6.5494418543005892</v>
      </c>
      <c r="F889" s="58">
        <f>MIN(2.3*SQRT($C$837*$C$840*$C$838)/1000+(E889/4),$C$838*$C$840*D889/1000,$C$838*$C$840*D889/1000*(SQRT(2+4*$C$837/($C$837*$C$840*D889^2))-1)+E889/4)</f>
        <v>4.8330436525651237</v>
      </c>
      <c r="G889" s="58">
        <f>F889</f>
        <v>4.8330436525651237</v>
      </c>
      <c r="H889" s="240"/>
      <c r="I889" s="218"/>
      <c r="J889" s="110"/>
      <c r="K889" s="110"/>
      <c r="U889" s="35"/>
      <c r="V889" s="35"/>
      <c r="W889" s="35"/>
      <c r="X889" s="35"/>
    </row>
    <row r="890" spans="1:24" ht="45">
      <c r="A890" s="224" t="s">
        <v>1053</v>
      </c>
      <c r="B890" s="57">
        <v>9</v>
      </c>
      <c r="C890" s="57">
        <v>8</v>
      </c>
      <c r="D890" s="212">
        <f>80-23</f>
        <v>57</v>
      </c>
      <c r="E890" s="58">
        <f t="shared" ref="E890:E892" si="263">(0.52*SQRT(C890)*D890^0.9*$B$836^0.8)/1000</f>
        <v>6.5494418543005892</v>
      </c>
      <c r="F890" s="58">
        <f t="shared" ref="F890:F892" si="264">MIN(2.3*SQRT($C$837*$C$840*$C$838)/1000+(E890/4),$C$838*$C$840*D890/1000,$C$838*$C$840*D890/1000*(SQRT(2+4*$C$837/($C$837*$C$840*D890^2))-1)+E890/4)</f>
        <v>4.8330436525651237</v>
      </c>
      <c r="G890" s="58">
        <f t="shared" ref="G890:G896" si="265">F890</f>
        <v>4.8330436525651237</v>
      </c>
      <c r="H890" s="240"/>
      <c r="I890" s="218"/>
      <c r="J890" s="110"/>
      <c r="K890" s="110"/>
    </row>
    <row r="891" spans="1:24" ht="45">
      <c r="A891" s="224" t="s">
        <v>1054</v>
      </c>
      <c r="B891" s="57">
        <v>9</v>
      </c>
      <c r="C891" s="57">
        <v>8</v>
      </c>
      <c r="D891" s="212">
        <f>80-23</f>
        <v>57</v>
      </c>
      <c r="E891" s="58">
        <f t="shared" si="263"/>
        <v>6.5494418543005892</v>
      </c>
      <c r="F891" s="58">
        <f t="shared" si="264"/>
        <v>4.8330436525651237</v>
      </c>
      <c r="G891" s="58">
        <f t="shared" si="265"/>
        <v>4.8330436525651237</v>
      </c>
      <c r="H891" s="240"/>
      <c r="I891" s="218"/>
      <c r="J891" s="110"/>
      <c r="K891" s="110"/>
    </row>
    <row r="892" spans="1:24" ht="45.75" thickBot="1">
      <c r="A892" s="421" t="s">
        <v>1055</v>
      </c>
      <c r="B892" s="287">
        <v>9</v>
      </c>
      <c r="C892" s="287">
        <v>8</v>
      </c>
      <c r="D892" s="286">
        <f>80-23</f>
        <v>57</v>
      </c>
      <c r="E892" s="323">
        <f t="shared" si="263"/>
        <v>6.5494418543005892</v>
      </c>
      <c r="F892" s="323">
        <f t="shared" si="264"/>
        <v>4.8330436525651237</v>
      </c>
      <c r="G892" s="323">
        <f t="shared" si="265"/>
        <v>4.8330436525651237</v>
      </c>
      <c r="H892" s="240"/>
      <c r="I892" s="218"/>
      <c r="J892" s="110"/>
      <c r="K892" s="110"/>
    </row>
    <row r="893" spans="1:24" ht="45.75" thickTop="1">
      <c r="A893" s="269" t="s">
        <v>1056</v>
      </c>
      <c r="B893" s="261">
        <v>9</v>
      </c>
      <c r="C893" s="261">
        <v>10</v>
      </c>
      <c r="D893" s="260">
        <f>100-25</f>
        <v>75</v>
      </c>
      <c r="E893" s="325">
        <f>(0.52*SQRT(C893)*D893^0.9*$B$836^0.8)/1000</f>
        <v>9.3740456535592109</v>
      </c>
      <c r="F893" s="325">
        <f>MIN(2.3*SQRT($B$837*$B$840*$B$838)/1000+(E893/4),$B$838*$B$840*D893/1000,$B$838*$B$840*D893/1000*(SQRT(2+4*$B$838/($B$838*$B$840*D893^2))-1)+E893/4)</f>
        <v>7.259114628899094</v>
      </c>
      <c r="G893" s="325">
        <f t="shared" si="265"/>
        <v>7.259114628899094</v>
      </c>
      <c r="H893" s="240"/>
      <c r="I893" s="218"/>
      <c r="J893" s="110"/>
      <c r="K893" s="110"/>
    </row>
    <row r="894" spans="1:24" ht="45">
      <c r="A894" s="224" t="s">
        <v>1057</v>
      </c>
      <c r="B894" s="57">
        <v>9</v>
      </c>
      <c r="C894" s="57">
        <v>10</v>
      </c>
      <c r="D894" s="212">
        <f>100-25</f>
        <v>75</v>
      </c>
      <c r="E894" s="58">
        <f t="shared" ref="E894:E896" si="266">(0.52*SQRT(C894)*D894^0.9*$B$836^0.8)/1000</f>
        <v>9.3740456535592109</v>
      </c>
      <c r="F894" s="58">
        <f t="shared" ref="F894:F896" si="267">MIN(2.3*SQRT($B$837*$B$840*$B$838)/1000+(E894/4),$B$838*$B$840*D894/1000,$B$838*$B$840*D894/1000*(SQRT(2+4*$B$838/($B$838*$B$840*D894^2))-1)+E894/4)</f>
        <v>7.259114628899094</v>
      </c>
      <c r="G894" s="58">
        <f t="shared" si="265"/>
        <v>7.259114628899094</v>
      </c>
      <c r="H894" s="240"/>
      <c r="I894" s="218"/>
      <c r="J894" s="110"/>
      <c r="K894" s="110"/>
    </row>
    <row r="895" spans="1:24" ht="45">
      <c r="A895" s="224" t="s">
        <v>1058</v>
      </c>
      <c r="B895" s="57">
        <v>9</v>
      </c>
      <c r="C895" s="57">
        <v>10</v>
      </c>
      <c r="D895" s="212">
        <f>100-25</f>
        <v>75</v>
      </c>
      <c r="E895" s="58">
        <f t="shared" si="266"/>
        <v>9.3740456535592109</v>
      </c>
      <c r="F895" s="58">
        <f t="shared" si="267"/>
        <v>7.259114628899094</v>
      </c>
      <c r="G895" s="58">
        <f t="shared" si="265"/>
        <v>7.259114628899094</v>
      </c>
      <c r="H895" s="240"/>
      <c r="I895" s="218"/>
      <c r="J895" s="110"/>
      <c r="K895" s="110"/>
    </row>
    <row r="896" spans="1:24" ht="45.75" thickBot="1">
      <c r="A896" s="585" t="s">
        <v>1059</v>
      </c>
      <c r="B896" s="562">
        <v>9</v>
      </c>
      <c r="C896" s="562">
        <v>10</v>
      </c>
      <c r="D896" s="518">
        <f>100-25</f>
        <v>75</v>
      </c>
      <c r="E896" s="586">
        <f t="shared" si="266"/>
        <v>9.3740456535592109</v>
      </c>
      <c r="F896" s="586">
        <f t="shared" si="267"/>
        <v>7.259114628899094</v>
      </c>
      <c r="G896" s="586">
        <f t="shared" si="265"/>
        <v>7.259114628899094</v>
      </c>
    </row>
    <row r="897" spans="1:12" ht="45">
      <c r="A897" s="269" t="s">
        <v>1024</v>
      </c>
      <c r="B897" s="261">
        <v>7</v>
      </c>
      <c r="C897" s="261">
        <v>8</v>
      </c>
      <c r="D897" s="260">
        <f>80-10</f>
        <v>70</v>
      </c>
      <c r="E897" s="325">
        <f t="shared" ref="E897" si="268">(0.52*SQRT(C897)*D897^0.9*$B$828^0.8)/1000</f>
        <v>7.8796178754106014</v>
      </c>
      <c r="F897" s="325">
        <f t="shared" ref="F897:F902" si="269">MIN(2.3*SQRT($C$829*$C$832*$C$830)/1000+(E897/4),$C$830*$C$832*D897/1000,$C$830*$C$832*D897/1000*(SQRT(2+4*$C$829/($C$830*$C$832*D897^2))-1)+E897/4)</f>
        <v>5.7539958910348616</v>
      </c>
      <c r="G897" s="325">
        <f t="shared" ref="G897" si="270">F897</f>
        <v>5.7539958910348616</v>
      </c>
      <c r="H897" s="240"/>
      <c r="I897" s="218"/>
      <c r="J897" s="110"/>
      <c r="K897" s="110"/>
    </row>
    <row r="898" spans="1:12" ht="45">
      <c r="A898" s="269" t="s">
        <v>1025</v>
      </c>
      <c r="B898" s="57">
        <v>10</v>
      </c>
      <c r="C898" s="57">
        <v>8</v>
      </c>
      <c r="D898" s="212">
        <f>80-10</f>
        <v>70</v>
      </c>
      <c r="E898" s="58">
        <f t="shared" ref="E898:E906" si="271">(0.52*SQRT(C898)*D898^0.9*$B$828^0.8)/1000</f>
        <v>7.8796178754106014</v>
      </c>
      <c r="F898" s="58">
        <f t="shared" si="269"/>
        <v>5.7539958910348616</v>
      </c>
      <c r="G898" s="58">
        <f t="shared" ref="G898:G906" si="272">F898</f>
        <v>5.7539958910348616</v>
      </c>
      <c r="H898" s="240"/>
      <c r="I898" s="218"/>
      <c r="J898" s="110"/>
      <c r="K898" s="110"/>
    </row>
    <row r="899" spans="1:12" ht="45">
      <c r="A899" s="224" t="s">
        <v>1026</v>
      </c>
      <c r="B899" s="57">
        <v>10</v>
      </c>
      <c r="C899" s="57">
        <v>8</v>
      </c>
      <c r="D899" s="212">
        <f t="shared" ref="D899:D902" si="273">80-10</f>
        <v>70</v>
      </c>
      <c r="E899" s="58">
        <f t="shared" si="271"/>
        <v>7.8796178754106014</v>
      </c>
      <c r="F899" s="58">
        <f t="shared" si="269"/>
        <v>5.7539958910348616</v>
      </c>
      <c r="G899" s="58">
        <f t="shared" si="272"/>
        <v>5.7539958910348616</v>
      </c>
      <c r="H899" s="240"/>
      <c r="I899" s="218"/>
      <c r="J899" s="110"/>
      <c r="K899" s="110"/>
    </row>
    <row r="900" spans="1:12" ht="45">
      <c r="A900" s="224" t="s">
        <v>1027</v>
      </c>
      <c r="B900" s="57">
        <v>8</v>
      </c>
      <c r="C900" s="57">
        <v>8</v>
      </c>
      <c r="D900" s="212">
        <f t="shared" si="273"/>
        <v>70</v>
      </c>
      <c r="E900" s="58">
        <f t="shared" ref="E900" si="274">(0.52*SQRT(C900)*D900^0.9*$B$828^0.8)/1000</f>
        <v>7.8796178754106014</v>
      </c>
      <c r="F900" s="58">
        <f t="shared" si="269"/>
        <v>5.7539958910348616</v>
      </c>
      <c r="G900" s="58">
        <f t="shared" ref="G900" si="275">F900</f>
        <v>5.7539958910348616</v>
      </c>
      <c r="H900" s="240"/>
      <c r="I900" s="218"/>
      <c r="J900" s="110"/>
      <c r="K900" s="110"/>
    </row>
    <row r="901" spans="1:12" ht="45">
      <c r="A901" s="224" t="s">
        <v>1028</v>
      </c>
      <c r="B901" s="57">
        <v>16</v>
      </c>
      <c r="C901" s="57">
        <v>8</v>
      </c>
      <c r="D901" s="212">
        <f t="shared" si="273"/>
        <v>70</v>
      </c>
      <c r="E901" s="58">
        <f t="shared" si="271"/>
        <v>7.8796178754106014</v>
      </c>
      <c r="F901" s="58">
        <f t="shared" si="269"/>
        <v>5.7539958910348616</v>
      </c>
      <c r="G901" s="58">
        <f t="shared" si="272"/>
        <v>5.7539958910348616</v>
      </c>
      <c r="H901" s="240"/>
      <c r="I901" s="218"/>
      <c r="J901" s="110"/>
      <c r="K901" s="110"/>
    </row>
    <row r="902" spans="1:12" ht="45">
      <c r="A902" s="224" t="s">
        <v>1029</v>
      </c>
      <c r="B902" s="57">
        <v>16</v>
      </c>
      <c r="C902" s="57">
        <v>8</v>
      </c>
      <c r="D902" s="212">
        <f t="shared" si="273"/>
        <v>70</v>
      </c>
      <c r="E902" s="58">
        <f t="shared" si="271"/>
        <v>7.8796178754106014</v>
      </c>
      <c r="F902" s="58">
        <f t="shared" si="269"/>
        <v>5.7539958910348616</v>
      </c>
      <c r="G902" s="58">
        <f t="shared" si="272"/>
        <v>5.7539958910348616</v>
      </c>
      <c r="H902" s="240"/>
      <c r="I902" s="218"/>
      <c r="J902" s="110"/>
      <c r="K902" s="110"/>
    </row>
    <row r="903" spans="1:12" ht="45">
      <c r="A903" s="224" t="s">
        <v>1030</v>
      </c>
      <c r="B903" s="57">
        <v>8</v>
      </c>
      <c r="C903" s="57">
        <v>10</v>
      </c>
      <c r="D903" s="212">
        <f>100-15</f>
        <v>85</v>
      </c>
      <c r="E903" s="58">
        <f t="shared" ref="E903" si="276">(0.52*SQRT(C903)*D903^0.9*$B$828^0.8)/1000</f>
        <v>10.491774806064372</v>
      </c>
      <c r="F903" s="58">
        <f>MIN(2.3*SQRT($B$829*$B$832*$B$830)/1000+(E903/4),$B$830*$B$832*D903/1000,$B$830*$B$832*D903/1000*(SQRT(2+4*$B$829/($B$830*$B$832*D903^2))-1)+E903/4)</f>
        <v>8.0354591525640107</v>
      </c>
      <c r="G903" s="58">
        <f t="shared" ref="G903" si="277">F903</f>
        <v>8.0354591525640107</v>
      </c>
      <c r="H903" s="240"/>
      <c r="I903" s="218"/>
      <c r="J903" s="110"/>
      <c r="K903" s="110"/>
    </row>
    <row r="904" spans="1:12" ht="45">
      <c r="A904" s="224" t="s">
        <v>1031</v>
      </c>
      <c r="B904" s="57">
        <v>16</v>
      </c>
      <c r="C904" s="57">
        <v>10</v>
      </c>
      <c r="D904" s="212">
        <f>100-15</f>
        <v>85</v>
      </c>
      <c r="E904" s="58">
        <f t="shared" si="271"/>
        <v>10.491774806064372</v>
      </c>
      <c r="F904" s="58">
        <f>MIN(2.3*SQRT($B$829*$B$832*$B$830)/1000+(E904/4),$B$830*$B$832*D904/1000,$B$830*$B$832*D904/1000*(SQRT(2+4*$B$829/($B$830*$B$832*D904^2))-1)+E904/4)</f>
        <v>8.0354591525640107</v>
      </c>
      <c r="G904" s="58">
        <f t="shared" si="272"/>
        <v>8.0354591525640107</v>
      </c>
      <c r="H904" s="240"/>
      <c r="I904" s="218"/>
      <c r="J904" s="110"/>
      <c r="K904" s="110"/>
    </row>
    <row r="905" spans="1:12" ht="45">
      <c r="A905" s="224" t="s">
        <v>1032</v>
      </c>
      <c r="B905" s="57">
        <v>8</v>
      </c>
      <c r="C905" s="57">
        <v>10</v>
      </c>
      <c r="D905" s="212">
        <f>100-15</f>
        <v>85</v>
      </c>
      <c r="E905" s="58">
        <f t="shared" ref="E905" si="278">(0.52*SQRT(C905)*D905^0.9*$B$828^0.8)/1000</f>
        <v>10.491774806064372</v>
      </c>
      <c r="F905" s="58">
        <f>MIN(2.3*SQRT($B$829*$B$832*$B$830)/1000+(E905/4),$B$830*$B$832*D905/1000,$B$830*$B$832*D905/1000*(SQRT(2+4*$B$829/($B$830*$B$832*D905^2))-1)+E905/4)</f>
        <v>8.0354591525640107</v>
      </c>
      <c r="G905" s="58">
        <f t="shared" ref="G905" si="279">F905</f>
        <v>8.0354591525640107</v>
      </c>
      <c r="H905" s="240"/>
      <c r="I905" s="218"/>
      <c r="J905" s="110"/>
      <c r="K905" s="110"/>
    </row>
    <row r="906" spans="1:12" ht="45">
      <c r="A906" s="224" t="s">
        <v>1033</v>
      </c>
      <c r="B906" s="57">
        <v>25</v>
      </c>
      <c r="C906" s="57">
        <v>10</v>
      </c>
      <c r="D906" s="212">
        <f>100-15</f>
        <v>85</v>
      </c>
      <c r="E906" s="58">
        <f t="shared" si="271"/>
        <v>10.491774806064372</v>
      </c>
      <c r="F906" s="58">
        <f>MIN(2.3*SQRT($B$829*$B$832*$B$830)/1000+(E906/4),$B$830*$B$832*D906/1000,$B$830*$B$832*D906/1000*(SQRT(2+4*$B$829/($B$830*$B$832*D906^2))-1)+E906/4)</f>
        <v>8.0354591525640107</v>
      </c>
      <c r="G906" s="58">
        <f t="shared" si="272"/>
        <v>8.0354591525640107</v>
      </c>
      <c r="H906" s="240"/>
      <c r="I906" s="218"/>
      <c r="J906" s="110"/>
      <c r="K906" s="110"/>
    </row>
    <row r="907" spans="1:12">
      <c r="L907" s="166"/>
    </row>
    <row r="909" spans="1:12" ht="18">
      <c r="A909" s="3" t="s">
        <v>2</v>
      </c>
      <c r="B909" s="4" t="s">
        <v>181</v>
      </c>
      <c r="C909" s="4" t="s">
        <v>228</v>
      </c>
      <c r="D909" s="4" t="s">
        <v>150</v>
      </c>
      <c r="E909" s="4" t="s">
        <v>155</v>
      </c>
      <c r="F909" s="4" t="s">
        <v>175</v>
      </c>
      <c r="G909" s="4" t="s">
        <v>229</v>
      </c>
      <c r="H909" s="4" t="s">
        <v>157</v>
      </c>
      <c r="I909" s="4" t="s">
        <v>185</v>
      </c>
    </row>
    <row r="910" spans="1:12">
      <c r="A910" s="7"/>
      <c r="B910" s="56" t="s">
        <v>17</v>
      </c>
      <c r="C910" s="56" t="s">
        <v>17</v>
      </c>
      <c r="D910" s="8" t="s">
        <v>19</v>
      </c>
      <c r="E910" s="8" t="s">
        <v>75</v>
      </c>
      <c r="F910" s="8" t="s">
        <v>75</v>
      </c>
      <c r="G910" s="8" t="s">
        <v>75</v>
      </c>
      <c r="H910" s="8" t="s">
        <v>18</v>
      </c>
      <c r="I910" s="8" t="s">
        <v>17</v>
      </c>
    </row>
    <row r="911" spans="1:12" ht="45">
      <c r="A911" s="269" t="s">
        <v>1052</v>
      </c>
      <c r="B911" s="212">
        <f t="shared" ref="B911:B921" si="280">G889</f>
        <v>4.8330436525651237</v>
      </c>
      <c r="C911" s="212">
        <f>B889*E889</f>
        <v>52.395534834404714</v>
      </c>
      <c r="D911" s="57">
        <f>B889</f>
        <v>8</v>
      </c>
      <c r="E911" s="57">
        <v>247</v>
      </c>
      <c r="F911" s="581">
        <v>529</v>
      </c>
      <c r="G911" s="78">
        <v>5.9</v>
      </c>
      <c r="H911" s="278">
        <f>F867</f>
        <v>0</v>
      </c>
      <c r="I911" s="212">
        <f t="shared" ref="I911:I928" si="281">B911/(SQRT((1/D911+H911/E911)^2+(H911/F911)^2+(B911/(G911*C911))^2))</f>
        <v>38.365432397043428</v>
      </c>
    </row>
    <row r="912" spans="1:12" ht="45">
      <c r="A912" s="224" t="s">
        <v>1053</v>
      </c>
      <c r="B912" s="212">
        <f t="shared" si="280"/>
        <v>4.8330436525651237</v>
      </c>
      <c r="C912" s="212">
        <f t="shared" ref="C912:C918" si="282">B890*E890</f>
        <v>58.944976688705303</v>
      </c>
      <c r="D912" s="57">
        <f t="shared" ref="D912:D918" si="283">B890</f>
        <v>9</v>
      </c>
      <c r="E912" s="57">
        <v>247</v>
      </c>
      <c r="F912" s="581">
        <v>529</v>
      </c>
      <c r="G912" s="78">
        <v>5.9</v>
      </c>
      <c r="H912" s="278">
        <f t="shared" ref="H912:H928" si="284">H911</f>
        <v>0</v>
      </c>
      <c r="I912" s="212">
        <f t="shared" si="281"/>
        <v>43.16111144667385</v>
      </c>
    </row>
    <row r="913" spans="1:9" ht="45">
      <c r="A913" s="224" t="s">
        <v>1054</v>
      </c>
      <c r="B913" s="212">
        <f t="shared" si="280"/>
        <v>4.8330436525651237</v>
      </c>
      <c r="C913" s="212">
        <f t="shared" si="282"/>
        <v>58.944976688705303</v>
      </c>
      <c r="D913" s="57">
        <f t="shared" si="283"/>
        <v>9</v>
      </c>
      <c r="E913" s="57">
        <v>318</v>
      </c>
      <c r="F913" s="581">
        <v>868</v>
      </c>
      <c r="G913" s="78">
        <v>6.48</v>
      </c>
      <c r="H913" s="278">
        <f t="shared" si="284"/>
        <v>0</v>
      </c>
      <c r="I913" s="212">
        <f t="shared" si="281"/>
        <v>43.218063291146123</v>
      </c>
    </row>
    <row r="914" spans="1:9" ht="45.75" thickBot="1">
      <c r="A914" s="421" t="s">
        <v>1055</v>
      </c>
      <c r="B914" s="286">
        <f t="shared" si="280"/>
        <v>4.8330436525651237</v>
      </c>
      <c r="C914" s="286">
        <f t="shared" si="282"/>
        <v>58.944976688705303</v>
      </c>
      <c r="D914" s="287">
        <f t="shared" si="283"/>
        <v>9</v>
      </c>
      <c r="E914" s="287">
        <v>318</v>
      </c>
      <c r="F914" s="591">
        <v>868</v>
      </c>
      <c r="G914" s="312">
        <v>6.48</v>
      </c>
      <c r="H914" s="317">
        <f t="shared" si="284"/>
        <v>0</v>
      </c>
      <c r="I914" s="286">
        <f t="shared" si="281"/>
        <v>43.218063291146123</v>
      </c>
    </row>
    <row r="915" spans="1:9" ht="45.75" thickTop="1">
      <c r="A915" s="269" t="s">
        <v>1056</v>
      </c>
      <c r="B915" s="260">
        <f t="shared" si="280"/>
        <v>7.259114628899094</v>
      </c>
      <c r="C915" s="260">
        <f t="shared" si="282"/>
        <v>84.366410882032895</v>
      </c>
      <c r="D915" s="261">
        <f t="shared" si="283"/>
        <v>9</v>
      </c>
      <c r="E915" s="261">
        <v>360</v>
      </c>
      <c r="F915" s="587">
        <v>720</v>
      </c>
      <c r="G915" s="322">
        <v>8.67</v>
      </c>
      <c r="H915" s="320">
        <f t="shared" si="284"/>
        <v>0</v>
      </c>
      <c r="I915" s="260">
        <f t="shared" si="281"/>
        <v>65.072982541099194</v>
      </c>
    </row>
    <row r="916" spans="1:9" ht="45">
      <c r="A916" s="224" t="s">
        <v>1057</v>
      </c>
      <c r="B916" s="212">
        <f t="shared" si="280"/>
        <v>7.259114628899094</v>
      </c>
      <c r="C916" s="212">
        <f t="shared" si="282"/>
        <v>84.366410882032895</v>
      </c>
      <c r="D916" s="57">
        <f t="shared" si="283"/>
        <v>9</v>
      </c>
      <c r="E916" s="57">
        <v>360</v>
      </c>
      <c r="F916" s="581">
        <v>720</v>
      </c>
      <c r="G916" s="78">
        <v>8.67</v>
      </c>
      <c r="H916" s="278">
        <f t="shared" si="284"/>
        <v>0</v>
      </c>
      <c r="I916" s="212">
        <f t="shared" si="281"/>
        <v>65.072982541099194</v>
      </c>
    </row>
    <row r="917" spans="1:9" ht="45">
      <c r="A917" s="224" t="s">
        <v>1058</v>
      </c>
      <c r="B917" s="212">
        <f t="shared" si="280"/>
        <v>7.259114628899094</v>
      </c>
      <c r="C917" s="212">
        <f t="shared" si="282"/>
        <v>84.366410882032895</v>
      </c>
      <c r="D917" s="57">
        <f t="shared" si="283"/>
        <v>9</v>
      </c>
      <c r="E917" s="57">
        <v>566</v>
      </c>
      <c r="F917" s="581">
        <v>1980</v>
      </c>
      <c r="G917" s="78">
        <v>9.52</v>
      </c>
      <c r="H917" s="278">
        <f t="shared" si="284"/>
        <v>0</v>
      </c>
      <c r="I917" s="212">
        <f t="shared" si="281"/>
        <v>65.116958223966563</v>
      </c>
    </row>
    <row r="918" spans="1:9" ht="45.75" thickBot="1">
      <c r="A918" s="585" t="s">
        <v>1059</v>
      </c>
      <c r="B918" s="518">
        <f t="shared" si="280"/>
        <v>7.259114628899094</v>
      </c>
      <c r="C918" s="518">
        <f t="shared" si="282"/>
        <v>84.366410882032895</v>
      </c>
      <c r="D918" s="562">
        <f t="shared" si="283"/>
        <v>9</v>
      </c>
      <c r="E918" s="562">
        <v>566</v>
      </c>
      <c r="F918" s="589">
        <v>1980</v>
      </c>
      <c r="G918" s="593">
        <v>9.52</v>
      </c>
      <c r="H918" s="590">
        <f t="shared" si="284"/>
        <v>0</v>
      </c>
      <c r="I918" s="518">
        <f t="shared" si="281"/>
        <v>65.116958223966563</v>
      </c>
    </row>
    <row r="919" spans="1:9" ht="45">
      <c r="A919" s="269" t="s">
        <v>1024</v>
      </c>
      <c r="B919" s="260">
        <f t="shared" si="280"/>
        <v>5.7539958910348616</v>
      </c>
      <c r="C919" s="260">
        <f>(B897*E897)</f>
        <v>55.157325127874209</v>
      </c>
      <c r="D919" s="261">
        <f>B897</f>
        <v>7</v>
      </c>
      <c r="E919" s="261">
        <v>247</v>
      </c>
      <c r="F919" s="587">
        <v>529</v>
      </c>
      <c r="G919" s="322">
        <v>5.9</v>
      </c>
      <c r="H919" s="320">
        <f t="shared" si="284"/>
        <v>0</v>
      </c>
      <c r="I919" s="260">
        <f t="shared" si="281"/>
        <v>39.972965932953514</v>
      </c>
    </row>
    <row r="920" spans="1:9" ht="45">
      <c r="A920" s="269" t="s">
        <v>1025</v>
      </c>
      <c r="B920" s="212">
        <f t="shared" si="280"/>
        <v>5.7539958910348616</v>
      </c>
      <c r="C920" s="212">
        <f>(B898*E898)</f>
        <v>78.796178754106009</v>
      </c>
      <c r="D920" s="57">
        <f t="shared" ref="D920:D928" si="285">B898</f>
        <v>10</v>
      </c>
      <c r="E920" s="57">
        <v>313</v>
      </c>
      <c r="F920" s="581">
        <v>683</v>
      </c>
      <c r="G920" s="78">
        <v>8.25</v>
      </c>
      <c r="H920" s="278">
        <f t="shared" si="284"/>
        <v>0</v>
      </c>
      <c r="I920" s="212">
        <f t="shared" si="281"/>
        <v>57.3158714071267</v>
      </c>
    </row>
    <row r="921" spans="1:9" ht="45">
      <c r="A921" s="224" t="s">
        <v>1026</v>
      </c>
      <c r="B921" s="212">
        <f t="shared" si="280"/>
        <v>5.7539958910348616</v>
      </c>
      <c r="C921" s="212">
        <f>(B899*E899)</f>
        <v>78.796178754106009</v>
      </c>
      <c r="D921" s="57">
        <f t="shared" si="285"/>
        <v>10</v>
      </c>
      <c r="E921" s="57">
        <v>313</v>
      </c>
      <c r="F921" s="581">
        <v>683</v>
      </c>
      <c r="G921" s="78">
        <v>8.25</v>
      </c>
      <c r="H921" s="278">
        <f t="shared" si="284"/>
        <v>0</v>
      </c>
      <c r="I921" s="212">
        <f t="shared" si="281"/>
        <v>57.3158714071267</v>
      </c>
    </row>
    <row r="922" spans="1:9" ht="45">
      <c r="A922" s="224" t="s">
        <v>1027</v>
      </c>
      <c r="B922" s="212">
        <f t="shared" ref="B922:B928" si="286">G900</f>
        <v>5.7539958910348616</v>
      </c>
      <c r="C922" s="212">
        <f t="shared" ref="C922:C928" si="287">(B900*E900)</f>
        <v>63.036943003284811</v>
      </c>
      <c r="D922" s="57">
        <f t="shared" si="285"/>
        <v>8</v>
      </c>
      <c r="E922" s="57">
        <v>318</v>
      </c>
      <c r="F922" s="581">
        <v>868</v>
      </c>
      <c r="G922" s="78">
        <v>6.48</v>
      </c>
      <c r="H922" s="278">
        <f t="shared" si="284"/>
        <v>0</v>
      </c>
      <c r="I922" s="212">
        <f t="shared" si="281"/>
        <v>45.742435658972667</v>
      </c>
    </row>
    <row r="923" spans="1:9" ht="45">
      <c r="A923" s="224" t="s">
        <v>1028</v>
      </c>
      <c r="B923" s="212">
        <f t="shared" si="286"/>
        <v>5.7539958910348616</v>
      </c>
      <c r="C923" s="212">
        <f t="shared" si="287"/>
        <v>126.07388600656962</v>
      </c>
      <c r="D923" s="57">
        <f t="shared" si="285"/>
        <v>16</v>
      </c>
      <c r="E923" s="57">
        <v>590</v>
      </c>
      <c r="F923" s="581">
        <v>2061</v>
      </c>
      <c r="G923" s="78">
        <v>13</v>
      </c>
      <c r="H923" s="278">
        <f t="shared" si="284"/>
        <v>0</v>
      </c>
      <c r="I923" s="212">
        <f t="shared" si="281"/>
        <v>91.919031934834024</v>
      </c>
    </row>
    <row r="924" spans="1:9" ht="45">
      <c r="A924" s="224" t="s">
        <v>1029</v>
      </c>
      <c r="B924" s="212">
        <f t="shared" si="286"/>
        <v>5.7539958910348616</v>
      </c>
      <c r="C924" s="212">
        <f t="shared" si="287"/>
        <v>126.07388600656962</v>
      </c>
      <c r="D924" s="57">
        <f t="shared" si="285"/>
        <v>16</v>
      </c>
      <c r="E924" s="57">
        <v>590</v>
      </c>
      <c r="F924" s="581">
        <v>2061</v>
      </c>
      <c r="G924" s="78">
        <v>13</v>
      </c>
      <c r="H924" s="278">
        <f t="shared" si="284"/>
        <v>0</v>
      </c>
      <c r="I924" s="212">
        <f t="shared" si="281"/>
        <v>91.919031934834024</v>
      </c>
    </row>
    <row r="925" spans="1:9" ht="45">
      <c r="A925" s="224" t="s">
        <v>1030</v>
      </c>
      <c r="B925" s="212">
        <f t="shared" si="286"/>
        <v>8.0354591525640107</v>
      </c>
      <c r="C925" s="212">
        <f t="shared" si="287"/>
        <v>83.934198448514977</v>
      </c>
      <c r="D925" s="57">
        <f t="shared" si="285"/>
        <v>8</v>
      </c>
      <c r="E925" s="57">
        <v>360</v>
      </c>
      <c r="F925" s="581">
        <v>720</v>
      </c>
      <c r="G925" s="78">
        <v>8.67</v>
      </c>
      <c r="H925" s="278">
        <f t="shared" si="284"/>
        <v>0</v>
      </c>
      <c r="I925" s="212">
        <f t="shared" si="281"/>
        <v>64.03431523759663</v>
      </c>
    </row>
    <row r="926" spans="1:9" ht="45">
      <c r="A926" s="224" t="s">
        <v>1031</v>
      </c>
      <c r="B926" s="212">
        <f t="shared" si="286"/>
        <v>8.0354591525640107</v>
      </c>
      <c r="C926" s="212">
        <f t="shared" si="287"/>
        <v>167.86839689702995</v>
      </c>
      <c r="D926" s="57">
        <f t="shared" si="285"/>
        <v>16</v>
      </c>
      <c r="E926" s="57">
        <v>665</v>
      </c>
      <c r="F926" s="581">
        <v>1678</v>
      </c>
      <c r="G926" s="78">
        <v>17.3</v>
      </c>
      <c r="H926" s="278">
        <f t="shared" si="284"/>
        <v>0</v>
      </c>
      <c r="I926" s="212">
        <f t="shared" si="281"/>
        <v>128.44154252805498</v>
      </c>
    </row>
    <row r="927" spans="1:9" ht="45">
      <c r="A927" s="224" t="s">
        <v>1032</v>
      </c>
      <c r="B927" s="212">
        <f t="shared" si="286"/>
        <v>8.0354591525640107</v>
      </c>
      <c r="C927" s="212">
        <f t="shared" si="287"/>
        <v>83.934198448514977</v>
      </c>
      <c r="D927" s="57">
        <f t="shared" si="285"/>
        <v>8</v>
      </c>
      <c r="E927" s="57">
        <v>566</v>
      </c>
      <c r="F927" s="581">
        <v>1980</v>
      </c>
      <c r="G927" s="78">
        <v>9.52</v>
      </c>
      <c r="H927" s="278">
        <f t="shared" si="284"/>
        <v>0</v>
      </c>
      <c r="I927" s="212">
        <f t="shared" si="281"/>
        <v>64.076650326307998</v>
      </c>
    </row>
    <row r="928" spans="1:9" ht="45">
      <c r="A928" s="224" t="s">
        <v>1033</v>
      </c>
      <c r="B928" s="212">
        <f t="shared" si="286"/>
        <v>8.0354591525640107</v>
      </c>
      <c r="C928" s="212">
        <f t="shared" si="287"/>
        <v>262.29437015160931</v>
      </c>
      <c r="D928" s="57">
        <f t="shared" si="285"/>
        <v>25</v>
      </c>
      <c r="E928" s="57">
        <v>1284</v>
      </c>
      <c r="F928" s="581">
        <v>5189</v>
      </c>
      <c r="G928" s="78">
        <v>26.8</v>
      </c>
      <c r="H928" s="278">
        <f t="shared" si="284"/>
        <v>0</v>
      </c>
      <c r="I928" s="212">
        <f t="shared" si="281"/>
        <v>200.80449866836705</v>
      </c>
    </row>
    <row r="930" spans="1:40">
      <c r="B930" s="71"/>
    </row>
    <row r="931" spans="1:40" ht="18">
      <c r="A931" s="3" t="s">
        <v>2</v>
      </c>
      <c r="B931" s="72" t="s">
        <v>159</v>
      </c>
      <c r="C931" s="72" t="s">
        <v>160</v>
      </c>
      <c r="D931" s="72" t="s">
        <v>230</v>
      </c>
      <c r="E931" s="73" t="s">
        <v>231</v>
      </c>
      <c r="F931" s="74"/>
      <c r="O931" s="3" t="s">
        <v>2</v>
      </c>
      <c r="P931" s="664" t="s">
        <v>162</v>
      </c>
      <c r="Q931" s="665"/>
      <c r="R931" s="665"/>
      <c r="S931" s="665"/>
      <c r="T931" s="666"/>
      <c r="V931" s="2" t="s">
        <v>232</v>
      </c>
      <c r="W931" s="2">
        <v>350</v>
      </c>
      <c r="X931" s="2">
        <v>380</v>
      </c>
      <c r="Y931" s="2">
        <v>410</v>
      </c>
      <c r="Z931" s="2">
        <v>430</v>
      </c>
      <c r="AA931" s="2">
        <v>450</v>
      </c>
      <c r="AB931" s="2">
        <v>400</v>
      </c>
      <c r="AC931" s="2"/>
      <c r="AE931" s="2"/>
      <c r="AF931" s="2" t="s">
        <v>233</v>
      </c>
      <c r="AG931" s="2">
        <v>350</v>
      </c>
      <c r="AH931" s="2">
        <v>380</v>
      </c>
      <c r="AI931" s="2">
        <v>410</v>
      </c>
      <c r="AJ931" s="2">
        <v>430</v>
      </c>
      <c r="AK931" s="2">
        <v>450</v>
      </c>
      <c r="AL931" s="2">
        <v>400</v>
      </c>
      <c r="AM931" s="2"/>
    </row>
    <row r="932" spans="1:40">
      <c r="A932" s="7"/>
      <c r="B932" s="75" t="s">
        <v>17</v>
      </c>
      <c r="C932" s="76" t="s">
        <v>17</v>
      </c>
      <c r="D932" s="76" t="s">
        <v>17</v>
      </c>
      <c r="E932" s="77" t="s">
        <v>17</v>
      </c>
      <c r="F932" s="74"/>
      <c r="O932" s="7"/>
      <c r="P932" s="87">
        <v>0.6</v>
      </c>
      <c r="Q932" s="87">
        <v>0.7</v>
      </c>
      <c r="R932" s="87">
        <v>0.8</v>
      </c>
      <c r="S932" s="87">
        <v>0.9</v>
      </c>
      <c r="T932" s="87">
        <v>1</v>
      </c>
      <c r="V932" s="155">
        <v>10</v>
      </c>
      <c r="W932" s="155">
        <v>24</v>
      </c>
      <c r="X932" s="2">
        <v>25.3</v>
      </c>
      <c r="Y932" s="2">
        <v>26.7</v>
      </c>
      <c r="Z932" s="2">
        <v>27.6</v>
      </c>
      <c r="AA932" s="2">
        <v>28.4</v>
      </c>
      <c r="AB932" s="2">
        <v>26.3</v>
      </c>
      <c r="AC932" t="str">
        <f t="shared" ref="AC932:AC938" si="288">IF(MAX(W932:AB932)/1.3&gt;U$934,"Verbinder","")</f>
        <v/>
      </c>
      <c r="AE932" s="2"/>
      <c r="AF932" s="155">
        <v>10</v>
      </c>
      <c r="AG932" s="2">
        <v>33.9</v>
      </c>
      <c r="AH932" s="2"/>
      <c r="AI932" s="2"/>
      <c r="AJ932" s="2"/>
      <c r="AK932" s="2">
        <v>40</v>
      </c>
      <c r="AL932" s="2"/>
      <c r="AM932" t="str">
        <f t="shared" ref="AM932:AM938" si="289">IF(MAX(AG932:AL932)/1.3&gt;AE$934,"Verbinder","")</f>
        <v/>
      </c>
      <c r="AN932" t="str">
        <f>IF(OR(AG932&lt;W932,AK932&lt;AA932),"ACHTUNG","")</f>
        <v/>
      </c>
    </row>
    <row r="933" spans="1:40" ht="45">
      <c r="A933" s="540" t="s">
        <v>1052</v>
      </c>
      <c r="B933" s="123">
        <f t="shared" ref="B933:B948" si="290">G867</f>
        <v>27.856443548050784</v>
      </c>
      <c r="C933" s="123">
        <v>34</v>
      </c>
      <c r="D933" s="123">
        <f t="shared" ref="D933:D948" si="291">I911</f>
        <v>38.365432397043428</v>
      </c>
      <c r="E933" s="300">
        <f>MIN(B933,D933)</f>
        <v>27.856443548050784</v>
      </c>
      <c r="F933" s="89"/>
      <c r="J933" s="94"/>
      <c r="O933" s="13" t="s">
        <v>27</v>
      </c>
      <c r="P933" s="81">
        <f t="shared" ref="P933:T950" si="292">MIN(P$932*$B933/1.3,$C933/1,P$932*$D933/1.3)</f>
        <v>12.856820099100362</v>
      </c>
      <c r="Q933" s="81">
        <f t="shared" si="292"/>
        <v>14.99962344895042</v>
      </c>
      <c r="R933" s="81">
        <f t="shared" si="292"/>
        <v>17.142426798800482</v>
      </c>
      <c r="S933" s="81">
        <f t="shared" si="292"/>
        <v>19.285230148650541</v>
      </c>
      <c r="T933" s="81">
        <f t="shared" si="292"/>
        <v>21.428033498500604</v>
      </c>
      <c r="U933" s="2">
        <v>3</v>
      </c>
      <c r="V933" s="2">
        <v>20</v>
      </c>
      <c r="W933" s="2">
        <v>20.6</v>
      </c>
      <c r="X933" s="2">
        <v>21.8</v>
      </c>
      <c r="Y933" s="2">
        <v>22.9</v>
      </c>
      <c r="Z933" s="2">
        <v>23.7</v>
      </c>
      <c r="AA933" s="2">
        <v>24.4</v>
      </c>
      <c r="AB933" s="2">
        <v>22.6</v>
      </c>
      <c r="AC933" t="str">
        <f t="shared" si="288"/>
        <v/>
      </c>
      <c r="AE933" s="2"/>
      <c r="AF933" s="2">
        <v>20</v>
      </c>
      <c r="AG933" s="2">
        <v>28.7</v>
      </c>
      <c r="AH933" s="2"/>
      <c r="AI933" s="2"/>
      <c r="AJ933" s="2"/>
      <c r="AK933" s="2">
        <v>33.799999999999997</v>
      </c>
      <c r="AL933" s="2"/>
      <c r="AM933" t="str">
        <f t="shared" si="289"/>
        <v/>
      </c>
      <c r="AN933" t="str">
        <f t="shared" ref="AN933:AN992" si="293">IF(OR(AG933&lt;W933,AK933&lt;AA933),"ACHTUNG","")</f>
        <v/>
      </c>
    </row>
    <row r="934" spans="1:40" ht="45">
      <c r="A934" s="594" t="s">
        <v>1053</v>
      </c>
      <c r="B934" s="123">
        <f t="shared" si="290"/>
        <v>27.856443548050784</v>
      </c>
      <c r="C934" s="123">
        <v>34</v>
      </c>
      <c r="D934" s="123">
        <f t="shared" si="291"/>
        <v>43.16111144667385</v>
      </c>
      <c r="E934" s="300">
        <f t="shared" ref="E934:E950" si="294">MIN(B934,D934)</f>
        <v>27.856443548050784</v>
      </c>
      <c r="F934" s="89"/>
      <c r="J934" s="94"/>
      <c r="O934" s="41" t="s">
        <v>28</v>
      </c>
      <c r="P934" s="81">
        <f t="shared" si="292"/>
        <v>12.856820099100362</v>
      </c>
      <c r="Q934" s="81">
        <f t="shared" si="292"/>
        <v>14.99962344895042</v>
      </c>
      <c r="R934" s="81">
        <f t="shared" si="292"/>
        <v>17.142426798800482</v>
      </c>
      <c r="S934" s="81">
        <f t="shared" si="292"/>
        <v>19.285230148650541</v>
      </c>
      <c r="T934" s="81">
        <f t="shared" si="292"/>
        <v>21.428033498500604</v>
      </c>
      <c r="U934" s="2">
        <v>34</v>
      </c>
      <c r="V934" s="2">
        <v>30</v>
      </c>
      <c r="W934" s="155">
        <v>18</v>
      </c>
      <c r="X934" s="155">
        <v>19</v>
      </c>
      <c r="Y934" s="2">
        <v>19.899999999999999</v>
      </c>
      <c r="Z934" s="2">
        <v>20.6</v>
      </c>
      <c r="AA934" s="2">
        <v>21.2</v>
      </c>
      <c r="AB934" s="2">
        <v>19.600000000000001</v>
      </c>
      <c r="AC934" t="str">
        <f t="shared" si="288"/>
        <v/>
      </c>
      <c r="AE934" s="2">
        <v>34</v>
      </c>
      <c r="AF934" s="2">
        <v>30</v>
      </c>
      <c r="AG934" s="2">
        <v>24.7</v>
      </c>
      <c r="AH934" s="2"/>
      <c r="AI934" s="2"/>
      <c r="AJ934" s="2"/>
      <c r="AK934" s="2">
        <v>29</v>
      </c>
      <c r="AL934" s="2"/>
      <c r="AM934" t="str">
        <f t="shared" si="289"/>
        <v/>
      </c>
      <c r="AN934" t="str">
        <f t="shared" si="293"/>
        <v/>
      </c>
    </row>
    <row r="935" spans="1:40" ht="45">
      <c r="A935" s="594" t="s">
        <v>1054</v>
      </c>
      <c r="B935" s="123">
        <f t="shared" si="290"/>
        <v>31.338498991557135</v>
      </c>
      <c r="C935" s="123">
        <v>34</v>
      </c>
      <c r="D935" s="123">
        <f t="shared" si="291"/>
        <v>43.218063291146123</v>
      </c>
      <c r="E935" s="300">
        <f t="shared" si="294"/>
        <v>31.338498991557135</v>
      </c>
      <c r="F935" s="89"/>
      <c r="J935" s="94"/>
      <c r="O935" s="13" t="s">
        <v>29</v>
      </c>
      <c r="P935" s="81">
        <f t="shared" si="292"/>
        <v>14.463922611487906</v>
      </c>
      <c r="Q935" s="81">
        <f t="shared" si="292"/>
        <v>16.874576380069225</v>
      </c>
      <c r="R935" s="81">
        <f t="shared" si="292"/>
        <v>19.285230148650545</v>
      </c>
      <c r="S935" s="81">
        <f t="shared" si="292"/>
        <v>21.69588391723186</v>
      </c>
      <c r="T935" s="81">
        <f t="shared" si="292"/>
        <v>24.10653768581318</v>
      </c>
      <c r="U935" s="155">
        <f>N933</f>
        <v>0</v>
      </c>
      <c r="V935" s="2">
        <v>40</v>
      </c>
      <c r="W935" s="2">
        <v>15.8</v>
      </c>
      <c r="X935" s="2">
        <v>16.7</v>
      </c>
      <c r="Y935" s="2">
        <v>17.600000000000001</v>
      </c>
      <c r="Z935" s="2">
        <v>18.100000000000001</v>
      </c>
      <c r="AA935" s="2">
        <v>18.600000000000001</v>
      </c>
      <c r="AB935" s="2">
        <v>17.3</v>
      </c>
      <c r="AC935" t="str">
        <f t="shared" si="288"/>
        <v/>
      </c>
      <c r="AE935" s="155">
        <f>N942</f>
        <v>0</v>
      </c>
      <c r="AF935" s="2">
        <v>40</v>
      </c>
      <c r="AG935" s="2">
        <v>21.6</v>
      </c>
      <c r="AH935" s="2"/>
      <c r="AI935" s="2"/>
      <c r="AJ935" s="2"/>
      <c r="AK935" s="2">
        <v>25.3</v>
      </c>
      <c r="AL935" s="2"/>
      <c r="AM935" t="str">
        <f t="shared" si="289"/>
        <v/>
      </c>
      <c r="AN935" t="str">
        <f t="shared" si="293"/>
        <v/>
      </c>
    </row>
    <row r="936" spans="1:40" ht="45.75" thickBot="1">
      <c r="A936" s="595" t="s">
        <v>1055</v>
      </c>
      <c r="B936" s="289">
        <f t="shared" si="290"/>
        <v>31.338498991557135</v>
      </c>
      <c r="C936" s="289">
        <v>34</v>
      </c>
      <c r="D936" s="289">
        <f t="shared" si="291"/>
        <v>43.218063291146123</v>
      </c>
      <c r="E936" s="303">
        <f t="shared" si="294"/>
        <v>31.338498991557135</v>
      </c>
      <c r="F936" s="89"/>
      <c r="J936" s="94"/>
      <c r="O936" s="41" t="s">
        <v>30</v>
      </c>
      <c r="P936" s="81">
        <f t="shared" si="292"/>
        <v>14.463922611487906</v>
      </c>
      <c r="Q936" s="81">
        <f t="shared" si="292"/>
        <v>16.874576380069225</v>
      </c>
      <c r="R936" s="81">
        <f t="shared" si="292"/>
        <v>19.285230148650545</v>
      </c>
      <c r="S936" s="81">
        <f t="shared" si="292"/>
        <v>21.69588391723186</v>
      </c>
      <c r="T936" s="81">
        <f t="shared" si="292"/>
        <v>24.10653768581318</v>
      </c>
      <c r="U936" s="2"/>
      <c r="V936" s="2">
        <v>50</v>
      </c>
      <c r="W936" s="2">
        <v>14.1</v>
      </c>
      <c r="X936" s="2">
        <v>14.9</v>
      </c>
      <c r="Y936" s="2">
        <v>15.7</v>
      </c>
      <c r="Z936" s="2">
        <v>16.100000000000001</v>
      </c>
      <c r="AA936" s="2">
        <v>16.600000000000001</v>
      </c>
      <c r="AB936" s="2">
        <v>15.4</v>
      </c>
      <c r="AC936" t="str">
        <f t="shared" si="288"/>
        <v/>
      </c>
      <c r="AE936" s="2"/>
      <c r="AF936" s="2">
        <v>50</v>
      </c>
      <c r="AG936" s="2">
        <v>19.100000000000001</v>
      </c>
      <c r="AH936" s="2"/>
      <c r="AI936" s="2"/>
      <c r="AJ936" s="2"/>
      <c r="AK936" s="2">
        <v>22.3</v>
      </c>
      <c r="AL936" s="2"/>
      <c r="AM936" t="str">
        <f t="shared" si="289"/>
        <v/>
      </c>
      <c r="AN936" t="str">
        <f t="shared" si="293"/>
        <v/>
      </c>
    </row>
    <row r="937" spans="1:40" ht="45.75" thickTop="1">
      <c r="A937" s="540" t="s">
        <v>1056</v>
      </c>
      <c r="B937" s="263">
        <f t="shared" si="290"/>
        <v>44.467056107368201</v>
      </c>
      <c r="C937" s="263">
        <v>50</v>
      </c>
      <c r="D937" s="263">
        <f t="shared" si="291"/>
        <v>65.072982541099194</v>
      </c>
      <c r="E937" s="306">
        <f t="shared" si="294"/>
        <v>44.467056107368201</v>
      </c>
      <c r="F937" s="89"/>
      <c r="J937" s="94"/>
      <c r="O937" s="13" t="s">
        <v>31</v>
      </c>
      <c r="P937" s="81">
        <f t="shared" si="292"/>
        <v>20.523256664939169</v>
      </c>
      <c r="Q937" s="81">
        <f t="shared" si="292"/>
        <v>23.943799442429029</v>
      </c>
      <c r="R937" s="81">
        <f t="shared" si="292"/>
        <v>27.364342219918893</v>
      </c>
      <c r="S937" s="81">
        <f t="shared" si="292"/>
        <v>30.784884997408753</v>
      </c>
      <c r="T937" s="81">
        <f t="shared" si="292"/>
        <v>34.205427774898617</v>
      </c>
      <c r="U937" s="2"/>
      <c r="V937" s="2">
        <v>60</v>
      </c>
      <c r="W937" s="2">
        <v>12.7</v>
      </c>
      <c r="X937" s="2">
        <v>13.4</v>
      </c>
      <c r="Y937" s="2">
        <v>14.1</v>
      </c>
      <c r="Z937" s="2">
        <v>14.5</v>
      </c>
      <c r="AA937" s="2">
        <v>14.9</v>
      </c>
      <c r="AB937" s="2">
        <v>13.9</v>
      </c>
      <c r="AC937" t="str">
        <f t="shared" si="288"/>
        <v/>
      </c>
      <c r="AE937" s="2"/>
      <c r="AF937" s="2">
        <v>60</v>
      </c>
      <c r="AG937" s="2">
        <v>17.100000000000001</v>
      </c>
      <c r="AH937" s="2"/>
      <c r="AI937" s="2"/>
      <c r="AJ937" s="2"/>
      <c r="AK937" s="2">
        <v>20</v>
      </c>
      <c r="AL937" s="2"/>
      <c r="AM937" t="str">
        <f t="shared" si="289"/>
        <v/>
      </c>
      <c r="AN937" t="str">
        <f t="shared" si="293"/>
        <v/>
      </c>
    </row>
    <row r="938" spans="1:40" ht="45">
      <c r="A938" s="594" t="s">
        <v>1057</v>
      </c>
      <c r="B938" s="123">
        <f t="shared" si="290"/>
        <v>44.467056107368201</v>
      </c>
      <c r="C938" s="123">
        <v>50</v>
      </c>
      <c r="D938" s="123">
        <f t="shared" si="291"/>
        <v>65.072982541099194</v>
      </c>
      <c r="E938" s="300">
        <f t="shared" si="294"/>
        <v>44.467056107368201</v>
      </c>
      <c r="F938" s="89"/>
      <c r="J938" s="94"/>
      <c r="O938" s="41" t="s">
        <v>32</v>
      </c>
      <c r="P938" s="81">
        <f t="shared" si="292"/>
        <v>20.523256664939169</v>
      </c>
      <c r="Q938" s="81">
        <f t="shared" si="292"/>
        <v>23.943799442429029</v>
      </c>
      <c r="R938" s="81">
        <f t="shared" si="292"/>
        <v>27.364342219918893</v>
      </c>
      <c r="S938" s="81">
        <f t="shared" si="292"/>
        <v>30.784884997408753</v>
      </c>
      <c r="T938" s="81">
        <f t="shared" si="292"/>
        <v>34.205427774898617</v>
      </c>
      <c r="U938" s="2"/>
      <c r="V938" s="2">
        <v>70</v>
      </c>
      <c r="W938" s="2">
        <v>11.6</v>
      </c>
      <c r="X938" s="2">
        <v>12.2</v>
      </c>
      <c r="Y938" s="2">
        <v>12.8</v>
      </c>
      <c r="Z938" s="2">
        <v>13.2</v>
      </c>
      <c r="AA938" s="2">
        <v>13.6</v>
      </c>
      <c r="AB938" s="2">
        <v>12.6</v>
      </c>
      <c r="AC938" t="str">
        <f t="shared" si="288"/>
        <v/>
      </c>
      <c r="AE938" s="2"/>
      <c r="AF938" s="2">
        <v>70</v>
      </c>
      <c r="AG938" s="2">
        <v>15.5</v>
      </c>
      <c r="AH938" s="2"/>
      <c r="AI938" s="2"/>
      <c r="AJ938" s="2"/>
      <c r="AK938" s="2">
        <v>18.100000000000001</v>
      </c>
      <c r="AL938" s="2"/>
      <c r="AM938" t="str">
        <f t="shared" si="289"/>
        <v/>
      </c>
      <c r="AN938" t="str">
        <f t="shared" si="293"/>
        <v/>
      </c>
    </row>
    <row r="939" spans="1:40" ht="45">
      <c r="A939" s="594" t="s">
        <v>1058</v>
      </c>
      <c r="B939" s="123">
        <f t="shared" si="290"/>
        <v>44.467056107368201</v>
      </c>
      <c r="C939" s="123">
        <v>50</v>
      </c>
      <c r="D939" s="123">
        <f t="shared" si="291"/>
        <v>65.116958223966563</v>
      </c>
      <c r="E939" s="300">
        <f t="shared" si="294"/>
        <v>44.467056107368201</v>
      </c>
      <c r="F939" s="89"/>
      <c r="J939" s="94"/>
      <c r="O939" s="41" t="s">
        <v>33</v>
      </c>
      <c r="P939" s="81">
        <f t="shared" si="292"/>
        <v>20.523256664939169</v>
      </c>
      <c r="Q939" s="81">
        <f t="shared" si="292"/>
        <v>23.943799442429029</v>
      </c>
      <c r="R939" s="81">
        <f t="shared" si="292"/>
        <v>27.364342219918893</v>
      </c>
      <c r="S939" s="81">
        <f t="shared" si="292"/>
        <v>30.784884997408753</v>
      </c>
      <c r="T939" s="81">
        <f t="shared" si="292"/>
        <v>34.205427774898617</v>
      </c>
    </row>
    <row r="940" spans="1:40" ht="45.75" thickBot="1">
      <c r="A940" s="595" t="s">
        <v>1059</v>
      </c>
      <c r="B940" s="289">
        <f t="shared" si="290"/>
        <v>44.467056107368201</v>
      </c>
      <c r="C940" s="289">
        <v>50</v>
      </c>
      <c r="D940" s="289">
        <f t="shared" si="291"/>
        <v>65.116958223966563</v>
      </c>
      <c r="E940" s="303">
        <f t="shared" si="294"/>
        <v>44.467056107368201</v>
      </c>
      <c r="F940" s="89"/>
      <c r="J940" s="94"/>
      <c r="O940" s="13" t="s">
        <v>34</v>
      </c>
      <c r="P940" s="81">
        <f t="shared" si="292"/>
        <v>20.523256664939169</v>
      </c>
      <c r="Q940" s="81">
        <f t="shared" si="292"/>
        <v>23.943799442429029</v>
      </c>
      <c r="R940" s="81">
        <f t="shared" si="292"/>
        <v>27.364342219918893</v>
      </c>
      <c r="S940" s="81">
        <f t="shared" si="292"/>
        <v>30.784884997408753</v>
      </c>
      <c r="T940" s="81">
        <f t="shared" si="292"/>
        <v>34.205427774898617</v>
      </c>
    </row>
    <row r="941" spans="1:40" ht="45.75" thickTop="1">
      <c r="A941" s="269" t="s">
        <v>1024</v>
      </c>
      <c r="B941" s="263">
        <f t="shared" si="290"/>
        <v>24.771116438723269</v>
      </c>
      <c r="C941" s="263">
        <v>34</v>
      </c>
      <c r="D941" s="263">
        <f t="shared" si="291"/>
        <v>39.972965932953514</v>
      </c>
      <c r="E941" s="306">
        <f t="shared" ref="E941" si="295">MIN(B941,D941)</f>
        <v>24.771116438723269</v>
      </c>
      <c r="F941" s="89"/>
      <c r="J941" s="94"/>
      <c r="O941" s="509"/>
      <c r="P941" s="81"/>
      <c r="Q941" s="81"/>
      <c r="R941" s="81"/>
      <c r="S941" s="81"/>
      <c r="T941" s="81"/>
    </row>
    <row r="942" spans="1:40" ht="45">
      <c r="A942" s="269" t="s">
        <v>1025</v>
      </c>
      <c r="B942" s="123">
        <f t="shared" si="290"/>
        <v>35.387309198176098</v>
      </c>
      <c r="C942" s="123">
        <v>34</v>
      </c>
      <c r="D942" s="123">
        <f t="shared" si="291"/>
        <v>57.3158714071267</v>
      </c>
      <c r="E942" s="300">
        <f t="shared" si="294"/>
        <v>35.387309198176098</v>
      </c>
      <c r="F942" s="89"/>
      <c r="J942" s="94"/>
      <c r="O942" s="269" t="s">
        <v>351</v>
      </c>
      <c r="P942" s="81">
        <f t="shared" si="292"/>
        <v>16.332604245312044</v>
      </c>
      <c r="Q942" s="81">
        <f t="shared" si="292"/>
        <v>19.054704952864054</v>
      </c>
      <c r="R942" s="81">
        <f t="shared" si="292"/>
        <v>21.776805660416059</v>
      </c>
      <c r="S942" s="81">
        <f t="shared" si="292"/>
        <v>24.498906367968068</v>
      </c>
      <c r="T942" s="81">
        <f t="shared" si="292"/>
        <v>27.221007075520074</v>
      </c>
      <c r="U942" s="2"/>
      <c r="V942" s="2" t="s">
        <v>234</v>
      </c>
      <c r="W942" s="2">
        <v>350</v>
      </c>
      <c r="X942" s="2">
        <v>380</v>
      </c>
      <c r="Y942" s="2">
        <v>410</v>
      </c>
      <c r="Z942" s="2">
        <v>430</v>
      </c>
      <c r="AA942" s="2">
        <v>450</v>
      </c>
      <c r="AB942" s="2">
        <v>400</v>
      </c>
      <c r="AC942" s="2"/>
      <c r="AE942" s="2"/>
      <c r="AF942" s="2" t="s">
        <v>235</v>
      </c>
      <c r="AG942" s="2">
        <v>350</v>
      </c>
      <c r="AH942" s="2">
        <v>380</v>
      </c>
      <c r="AI942" s="2">
        <v>410</v>
      </c>
      <c r="AJ942" s="2">
        <v>430</v>
      </c>
      <c r="AK942" s="2">
        <v>450</v>
      </c>
      <c r="AL942" s="2">
        <v>400</v>
      </c>
      <c r="AM942" s="2"/>
    </row>
    <row r="943" spans="1:40" ht="45">
      <c r="A943" s="224" t="s">
        <v>1026</v>
      </c>
      <c r="B943" s="123">
        <f t="shared" si="290"/>
        <v>40.907719596366952</v>
      </c>
      <c r="C943" s="123">
        <v>34</v>
      </c>
      <c r="D943" s="123">
        <f t="shared" si="291"/>
        <v>57.3158714071267</v>
      </c>
      <c r="E943" s="300">
        <f t="shared" si="294"/>
        <v>40.907719596366952</v>
      </c>
      <c r="F943" s="89"/>
      <c r="J943" s="94"/>
      <c r="O943" s="224" t="s">
        <v>352</v>
      </c>
      <c r="P943" s="81">
        <f t="shared" si="292"/>
        <v>18.880485967553977</v>
      </c>
      <c r="Q943" s="81">
        <f t="shared" si="292"/>
        <v>22.027233628812972</v>
      </c>
      <c r="R943" s="81">
        <f t="shared" si="292"/>
        <v>25.173981290071971</v>
      </c>
      <c r="S943" s="81">
        <f t="shared" si="292"/>
        <v>28.320728951330963</v>
      </c>
      <c r="T943" s="81">
        <f t="shared" si="292"/>
        <v>31.467476612589962</v>
      </c>
      <c r="U943" s="2"/>
      <c r="V943" s="155">
        <v>10</v>
      </c>
      <c r="W943" s="2">
        <v>27.5</v>
      </c>
      <c r="X943" s="2">
        <v>29.1</v>
      </c>
      <c r="Y943" s="2">
        <v>30.7</v>
      </c>
      <c r="Z943" s="2">
        <v>31.7</v>
      </c>
      <c r="AA943" s="2">
        <v>32.6</v>
      </c>
      <c r="AB943" s="2">
        <v>30.1</v>
      </c>
      <c r="AC943" t="str">
        <f>IF(MAX(W943:AB943)/1.3&gt;U$946,"Verbinder","")</f>
        <v/>
      </c>
      <c r="AE943" s="2"/>
      <c r="AF943" s="155">
        <v>10</v>
      </c>
      <c r="AG943" s="2">
        <v>44.4</v>
      </c>
      <c r="AH943" s="2"/>
      <c r="AI943" s="2"/>
      <c r="AJ943" s="2"/>
      <c r="AK943" s="2">
        <v>52.5</v>
      </c>
      <c r="AL943" s="2"/>
      <c r="AM943" t="str">
        <f>IF(MAX(AG943:AL943)/1.3&gt;AE$946,"Verbinder","")</f>
        <v>Verbinder</v>
      </c>
      <c r="AN943" t="str">
        <f t="shared" si="293"/>
        <v/>
      </c>
    </row>
    <row r="944" spans="1:40" ht="45">
      <c r="A944" s="224" t="s">
        <v>1027</v>
      </c>
      <c r="B944" s="123">
        <f t="shared" si="290"/>
        <v>28.309847358540878</v>
      </c>
      <c r="C944" s="123">
        <v>34</v>
      </c>
      <c r="D944" s="123">
        <f t="shared" si="291"/>
        <v>45.742435658972667</v>
      </c>
      <c r="E944" s="300">
        <f t="shared" ref="E944" si="296">MIN(B944,D944)</f>
        <v>28.309847358540878</v>
      </c>
      <c r="F944" s="89"/>
      <c r="J944" s="94"/>
      <c r="O944" s="224"/>
      <c r="P944" s="81"/>
      <c r="Q944" s="81"/>
      <c r="R944" s="81"/>
      <c r="S944" s="81"/>
      <c r="T944" s="81"/>
      <c r="U944" s="2"/>
      <c r="V944" s="155"/>
      <c r="W944" s="2"/>
      <c r="X944" s="2"/>
      <c r="Y944" s="2"/>
      <c r="Z944" s="2"/>
      <c r="AA944" s="2"/>
      <c r="AB944" s="2"/>
      <c r="AE944" s="2"/>
      <c r="AF944" s="155"/>
      <c r="AG944" s="2"/>
      <c r="AH944" s="2"/>
      <c r="AI944" s="2"/>
      <c r="AJ944" s="2"/>
      <c r="AK944" s="2"/>
      <c r="AL944" s="2"/>
    </row>
    <row r="945" spans="1:40" ht="45">
      <c r="A945" s="224" t="s">
        <v>1028</v>
      </c>
      <c r="B945" s="123">
        <f t="shared" si="290"/>
        <v>56.619694717081757</v>
      </c>
      <c r="C945" s="123">
        <v>34</v>
      </c>
      <c r="D945" s="123">
        <f t="shared" si="291"/>
        <v>91.919031934834024</v>
      </c>
      <c r="E945" s="300">
        <f t="shared" si="294"/>
        <v>56.619694717081757</v>
      </c>
      <c r="F945" s="89"/>
      <c r="J945" s="94"/>
      <c r="O945" s="224" t="s">
        <v>353</v>
      </c>
      <c r="P945" s="81">
        <f t="shared" si="292"/>
        <v>26.132166792499273</v>
      </c>
      <c r="Q945" s="81">
        <f t="shared" si="292"/>
        <v>30.487527924582484</v>
      </c>
      <c r="R945" s="81">
        <f t="shared" si="292"/>
        <v>34</v>
      </c>
      <c r="S945" s="81">
        <f t="shared" si="292"/>
        <v>34</v>
      </c>
      <c r="T945" s="81">
        <f t="shared" si="292"/>
        <v>34</v>
      </c>
      <c r="U945" s="2"/>
      <c r="V945" s="2">
        <v>20</v>
      </c>
      <c r="W945" s="2">
        <v>24.1</v>
      </c>
      <c r="X945" s="2">
        <v>25.5</v>
      </c>
      <c r="Y945" s="2">
        <v>26.8</v>
      </c>
      <c r="Z945" s="2">
        <v>27.7</v>
      </c>
      <c r="AA945" s="2">
        <v>28.5</v>
      </c>
      <c r="AB945" s="2">
        <v>26.4</v>
      </c>
      <c r="AC945" t="str">
        <f>IF(MAX(W945:AB945)/1.3&gt;U$946,"Verbinder","")</f>
        <v/>
      </c>
      <c r="AE945" s="2"/>
      <c r="AF945" s="2">
        <v>20</v>
      </c>
      <c r="AG945" s="2">
        <v>38.200000000000003</v>
      </c>
      <c r="AH945" s="2"/>
      <c r="AI945" s="2"/>
      <c r="AJ945" s="2"/>
      <c r="AK945" s="2">
        <v>45</v>
      </c>
      <c r="AL945" s="2"/>
      <c r="AM945" t="str">
        <f>IF(MAX(AG945:AL945)/1.3&gt;AE$946,"Verbinder","")</f>
        <v>Verbinder</v>
      </c>
      <c r="AN945" t="str">
        <f t="shared" si="293"/>
        <v/>
      </c>
    </row>
    <row r="946" spans="1:40" ht="45">
      <c r="A946" s="224" t="s">
        <v>1029</v>
      </c>
      <c r="B946" s="123">
        <f t="shared" si="290"/>
        <v>65.45235135418713</v>
      </c>
      <c r="C946" s="123">
        <v>34</v>
      </c>
      <c r="D946" s="123">
        <f t="shared" si="291"/>
        <v>91.919031934834024</v>
      </c>
      <c r="E946" s="300">
        <f t="shared" si="294"/>
        <v>65.45235135418713</v>
      </c>
      <c r="F946" s="89"/>
      <c r="J946" s="94"/>
      <c r="O946" s="224" t="s">
        <v>354</v>
      </c>
      <c r="P946" s="81">
        <f t="shared" si="292"/>
        <v>30.208777548086367</v>
      </c>
      <c r="Q946" s="81">
        <f t="shared" si="292"/>
        <v>34</v>
      </c>
      <c r="R946" s="81">
        <f t="shared" si="292"/>
        <v>34</v>
      </c>
      <c r="S946" s="81">
        <f t="shared" si="292"/>
        <v>34</v>
      </c>
      <c r="T946" s="81">
        <f t="shared" si="292"/>
        <v>34</v>
      </c>
      <c r="U946" s="2">
        <v>34</v>
      </c>
      <c r="V946" s="2">
        <v>30</v>
      </c>
      <c r="W946" s="2">
        <v>21.3</v>
      </c>
      <c r="X946" s="2">
        <v>22.5</v>
      </c>
      <c r="Y946" s="2">
        <v>23.7</v>
      </c>
      <c r="Z946" s="2">
        <v>24.4</v>
      </c>
      <c r="AA946" s="2">
        <v>25.2</v>
      </c>
      <c r="AB946" s="2">
        <v>23.3</v>
      </c>
      <c r="AC946" t="str">
        <f>IF(MAX(W946:AB946)/1.3&gt;U$946,"Verbinder","")</f>
        <v/>
      </c>
      <c r="AE946" s="2">
        <v>34</v>
      </c>
      <c r="AF946" s="2">
        <v>30</v>
      </c>
      <c r="AG946" s="2">
        <v>33.299999999999997</v>
      </c>
      <c r="AH946" s="2"/>
      <c r="AI946" s="2"/>
      <c r="AJ946" s="2"/>
      <c r="AK946" s="2">
        <v>39.9</v>
      </c>
      <c r="AL946" s="2"/>
      <c r="AM946" t="str">
        <f>IF(MAX(AG946:AL946)/1.3&gt;AE$946,"Verbinder","")</f>
        <v/>
      </c>
      <c r="AN946" t="str">
        <f t="shared" si="293"/>
        <v/>
      </c>
    </row>
    <row r="947" spans="1:40" ht="45">
      <c r="A947" s="224" t="s">
        <v>1030</v>
      </c>
      <c r="B947" s="123">
        <f t="shared" si="290"/>
        <v>39.835883846218714</v>
      </c>
      <c r="C947" s="123">
        <v>50</v>
      </c>
      <c r="D947" s="123">
        <f t="shared" si="291"/>
        <v>64.03431523759663</v>
      </c>
      <c r="E947" s="300">
        <f t="shared" ref="E947" si="297">MIN(B947,D947)</f>
        <v>39.835883846218714</v>
      </c>
      <c r="F947" s="89"/>
      <c r="J947" s="94"/>
      <c r="O947" s="224"/>
      <c r="P947" s="81"/>
      <c r="Q947" s="81"/>
      <c r="R947" s="81"/>
      <c r="S947" s="81"/>
      <c r="T947" s="81"/>
      <c r="U947" s="2"/>
      <c r="V947" s="2"/>
      <c r="W947" s="2"/>
      <c r="X947" s="2"/>
      <c r="Y947" s="2"/>
      <c r="Z947" s="2"/>
      <c r="AA947" s="2"/>
      <c r="AB947" s="2"/>
      <c r="AE947" s="2"/>
      <c r="AF947" s="2"/>
      <c r="AG947" s="2"/>
      <c r="AH947" s="2"/>
      <c r="AI947" s="2"/>
      <c r="AJ947" s="2"/>
      <c r="AK947" s="2"/>
      <c r="AL947" s="2"/>
    </row>
    <row r="948" spans="1:40" ht="45">
      <c r="A948" s="224" t="s">
        <v>1031</v>
      </c>
      <c r="B948" s="123">
        <f t="shared" si="290"/>
        <v>79.671767692437427</v>
      </c>
      <c r="C948" s="123">
        <v>50</v>
      </c>
      <c r="D948" s="123">
        <f t="shared" si="291"/>
        <v>128.44154252805498</v>
      </c>
      <c r="E948" s="300">
        <f t="shared" si="294"/>
        <v>79.671767692437427</v>
      </c>
      <c r="F948" s="89"/>
      <c r="J948" s="94"/>
      <c r="O948" s="224" t="s">
        <v>356</v>
      </c>
      <c r="P948" s="81">
        <f t="shared" si="292"/>
        <v>36.771585088817275</v>
      </c>
      <c r="Q948" s="81">
        <f t="shared" si="292"/>
        <v>42.900182603620152</v>
      </c>
      <c r="R948" s="81">
        <f t="shared" si="292"/>
        <v>49.028780118423029</v>
      </c>
      <c r="S948" s="81">
        <f t="shared" si="292"/>
        <v>50</v>
      </c>
      <c r="T948" s="81">
        <f t="shared" si="292"/>
        <v>50</v>
      </c>
      <c r="U948" s="155">
        <f>N934</f>
        <v>0</v>
      </c>
      <c r="V948" s="2">
        <v>40</v>
      </c>
      <c r="W948" s="2">
        <v>19.100000000000001</v>
      </c>
      <c r="X948" s="2">
        <v>20.100000000000001</v>
      </c>
      <c r="Y948" s="2">
        <v>21.2</v>
      </c>
      <c r="Z948" s="2">
        <v>21.8</v>
      </c>
      <c r="AA948" s="2">
        <v>22.4</v>
      </c>
      <c r="AB948" s="2">
        <v>20.8</v>
      </c>
      <c r="AC948" t="str">
        <f>IF(MAX(W948:AB948)/1.3&gt;U$946,"Verbinder","")</f>
        <v/>
      </c>
      <c r="AE948" s="155">
        <f>N943</f>
        <v>0</v>
      </c>
      <c r="AF948" s="2">
        <v>40</v>
      </c>
      <c r="AG948" s="2">
        <v>29.3</v>
      </c>
      <c r="AH948" s="2"/>
      <c r="AI948" s="2"/>
      <c r="AJ948" s="2"/>
      <c r="AK948" s="2">
        <v>34.4</v>
      </c>
      <c r="AL948" s="2"/>
      <c r="AM948" t="str">
        <f>IF(MAX(AG948:AL948)/1.3&gt;AE$946,"Verbinder","")</f>
        <v/>
      </c>
      <c r="AN948" t="str">
        <f t="shared" si="293"/>
        <v/>
      </c>
    </row>
    <row r="949" spans="1:40" ht="45">
      <c r="A949" s="224" t="s">
        <v>1032</v>
      </c>
      <c r="B949" s="123">
        <f t="shared" ref="B949" si="298">G883</f>
        <v>39.835883846218714</v>
      </c>
      <c r="C949" s="123">
        <v>50</v>
      </c>
      <c r="D949" s="123">
        <f t="shared" ref="D949" si="299">I927</f>
        <v>64.076650326307998</v>
      </c>
      <c r="E949" s="300">
        <f t="shared" ref="E949" si="300">MIN(B949,D949)</f>
        <v>39.835883846218714</v>
      </c>
      <c r="F949" s="89"/>
      <c r="J949" s="94"/>
      <c r="O949" s="224"/>
      <c r="P949" s="81"/>
      <c r="Q949" s="81"/>
      <c r="R949" s="81"/>
      <c r="S949" s="81"/>
      <c r="T949" s="81"/>
      <c r="U949" s="155"/>
      <c r="V949" s="2"/>
      <c r="W949" s="2"/>
      <c r="X949" s="2"/>
      <c r="Y949" s="2"/>
      <c r="Z949" s="2"/>
      <c r="AA949" s="2"/>
      <c r="AB949" s="2"/>
      <c r="AE949" s="155"/>
      <c r="AF949" s="2"/>
      <c r="AG949" s="2"/>
      <c r="AH949" s="2"/>
      <c r="AI949" s="2"/>
      <c r="AJ949" s="2"/>
      <c r="AK949" s="2"/>
      <c r="AL949" s="2"/>
    </row>
    <row r="950" spans="1:40" ht="45">
      <c r="A950" s="224" t="s">
        <v>1033</v>
      </c>
      <c r="B950" s="123">
        <f t="shared" ref="B950" si="301">G884</f>
        <v>124.48713701943348</v>
      </c>
      <c r="C950" s="123">
        <v>50</v>
      </c>
      <c r="D950" s="123">
        <f t="shared" ref="D950" si="302">I928</f>
        <v>200.80449866836705</v>
      </c>
      <c r="E950" s="300">
        <f t="shared" si="294"/>
        <v>124.48713701943348</v>
      </c>
      <c r="F950" s="89"/>
      <c r="J950" s="94"/>
      <c r="O950" s="224" t="s">
        <v>355</v>
      </c>
      <c r="P950" s="81">
        <f t="shared" si="292"/>
        <v>50</v>
      </c>
      <c r="Q950" s="81">
        <f t="shared" si="292"/>
        <v>50</v>
      </c>
      <c r="R950" s="81">
        <f t="shared" si="292"/>
        <v>50</v>
      </c>
      <c r="S950" s="81">
        <f t="shared" si="292"/>
        <v>50</v>
      </c>
      <c r="T950" s="81">
        <f t="shared" si="292"/>
        <v>50</v>
      </c>
      <c r="U950" s="2"/>
      <c r="V950" s="2">
        <v>50</v>
      </c>
      <c r="W950" s="2">
        <v>17.2</v>
      </c>
      <c r="X950" s="2">
        <v>18.100000000000001</v>
      </c>
      <c r="Y950" s="155">
        <v>19</v>
      </c>
      <c r="Z950" s="2">
        <v>19.600000000000001</v>
      </c>
      <c r="AA950" s="2">
        <v>20.2</v>
      </c>
      <c r="AB950" s="2">
        <v>18.7</v>
      </c>
      <c r="AC950" t="str">
        <f>IF(MAX(W950:AB950)/1.3&gt;U$946,"Verbinder","")</f>
        <v/>
      </c>
      <c r="AE950" s="2"/>
      <c r="AF950" s="2">
        <v>50</v>
      </c>
      <c r="AG950" s="2">
        <v>26.2</v>
      </c>
      <c r="AH950" s="2"/>
      <c r="AI950" s="2"/>
      <c r="AJ950" s="2"/>
      <c r="AK950" s="2">
        <v>30.6</v>
      </c>
      <c r="AL950" s="2"/>
      <c r="AM950" t="str">
        <f>IF(MAX(AG950:AL950)/1.3&gt;AE$946,"Verbinder","")</f>
        <v/>
      </c>
      <c r="AN950" t="str">
        <f t="shared" si="293"/>
        <v/>
      </c>
    </row>
    <row r="953" spans="1:40">
      <c r="U953" s="155"/>
      <c r="V953" s="2" t="s">
        <v>236</v>
      </c>
      <c r="W953" s="2">
        <v>350</v>
      </c>
      <c r="X953" s="2">
        <v>380</v>
      </c>
      <c r="Y953" s="2">
        <v>410</v>
      </c>
      <c r="Z953" s="2">
        <v>430</v>
      </c>
      <c r="AA953" s="2">
        <v>450</v>
      </c>
      <c r="AB953" s="2">
        <v>400</v>
      </c>
      <c r="AC953" s="2"/>
      <c r="AE953" s="155"/>
      <c r="AF953" s="2" t="s">
        <v>237</v>
      </c>
      <c r="AG953" s="2">
        <v>350</v>
      </c>
      <c r="AH953" s="2">
        <v>380</v>
      </c>
      <c r="AI953" s="2">
        <v>410</v>
      </c>
      <c r="AJ953" s="2">
        <v>430</v>
      </c>
      <c r="AK953" s="2">
        <v>450</v>
      </c>
      <c r="AL953" s="2">
        <v>400</v>
      </c>
      <c r="AM953" s="2"/>
    </row>
    <row r="954" spans="1:40" ht="18.75">
      <c r="A954" s="50" t="s">
        <v>1268</v>
      </c>
      <c r="U954" s="2"/>
      <c r="V954" s="155">
        <v>10</v>
      </c>
      <c r="W954" s="2">
        <v>27.6</v>
      </c>
      <c r="X954" s="155">
        <v>29.2</v>
      </c>
      <c r="Y954" s="2">
        <v>30.7</v>
      </c>
      <c r="Z954" s="2">
        <v>31.7</v>
      </c>
      <c r="AA954" s="2">
        <v>32.700000000000003</v>
      </c>
      <c r="AB954" s="2">
        <v>30.2</v>
      </c>
      <c r="AC954" t="str">
        <f t="shared" ref="AC954:AC973" si="303">IF(MAX(W954:AB954)/1.3&gt;U$956,"Verbinder","")</f>
        <v/>
      </c>
      <c r="AE954" s="2"/>
      <c r="AF954" s="155">
        <v>10</v>
      </c>
      <c r="AG954" s="2">
        <v>55.4</v>
      </c>
      <c r="AH954" s="155"/>
      <c r="AI954" s="2"/>
      <c r="AJ954" s="2"/>
      <c r="AK954" s="2">
        <v>65.599999999999994</v>
      </c>
      <c r="AL954" s="2"/>
      <c r="AM954" t="str">
        <f t="shared" ref="AM954:AM973" si="304">IF(MAX(AG954:AL954)/1.3&gt;AE$956,"Verbinder","")</f>
        <v>Verbinder</v>
      </c>
      <c r="AN954" t="str">
        <f t="shared" si="293"/>
        <v/>
      </c>
    </row>
    <row r="955" spans="1:40">
      <c r="U955" s="155"/>
      <c r="V955" s="2">
        <v>20</v>
      </c>
      <c r="W955" s="2">
        <v>24.2</v>
      </c>
      <c r="X955" s="2">
        <v>25.6</v>
      </c>
      <c r="Y955" s="2">
        <v>26.9</v>
      </c>
      <c r="Z955" s="2">
        <v>27.8</v>
      </c>
      <c r="AA955" s="155">
        <v>28.6</v>
      </c>
      <c r="AB955" s="2">
        <v>26.5</v>
      </c>
      <c r="AC955" t="str">
        <f t="shared" si="303"/>
        <v/>
      </c>
      <c r="AE955" s="155"/>
      <c r="AF955" s="2">
        <v>20</v>
      </c>
      <c r="AG955" s="2">
        <v>48.3</v>
      </c>
      <c r="AH955" s="2"/>
      <c r="AI955" s="2"/>
      <c r="AJ955" s="2"/>
      <c r="AK955" s="155">
        <v>56.9</v>
      </c>
      <c r="AL955" s="2"/>
      <c r="AM955" t="str">
        <f t="shared" si="304"/>
        <v>Verbinder</v>
      </c>
      <c r="AN955" t="str">
        <f t="shared" si="293"/>
        <v/>
      </c>
    </row>
    <row r="956" spans="1:40" ht="18">
      <c r="A956" s="3" t="s">
        <v>2</v>
      </c>
      <c r="B956" s="4" t="s">
        <v>41</v>
      </c>
      <c r="C956" s="4" t="s">
        <v>83</v>
      </c>
      <c r="D956" s="4" t="s">
        <v>84</v>
      </c>
      <c r="E956" s="4" t="s">
        <v>85</v>
      </c>
      <c r="F956" s="4" t="s">
        <v>86</v>
      </c>
      <c r="I956" s="2" t="s">
        <v>87</v>
      </c>
      <c r="L956" s="2"/>
      <c r="U956" s="2">
        <v>34</v>
      </c>
      <c r="V956" s="2">
        <v>30</v>
      </c>
      <c r="W956" s="2">
        <v>21.5</v>
      </c>
      <c r="X956" s="2">
        <v>22.7</v>
      </c>
      <c r="Y956" s="2">
        <v>23.8</v>
      </c>
      <c r="Z956" s="2">
        <v>24.6</v>
      </c>
      <c r="AA956" s="155">
        <v>25.3</v>
      </c>
      <c r="AB956" s="2">
        <v>23.5</v>
      </c>
      <c r="AC956" t="str">
        <f t="shared" si="303"/>
        <v/>
      </c>
      <c r="AE956" s="2">
        <v>34</v>
      </c>
      <c r="AF956" s="2">
        <v>30</v>
      </c>
      <c r="AG956" s="2">
        <v>42.5</v>
      </c>
      <c r="AH956" s="2"/>
      <c r="AI956" s="2"/>
      <c r="AJ956" s="2"/>
      <c r="AK956" s="155">
        <v>49.9</v>
      </c>
      <c r="AL956" s="2"/>
      <c r="AM956" t="str">
        <f t="shared" si="304"/>
        <v>Verbinder</v>
      </c>
      <c r="AN956" t="str">
        <f t="shared" si="293"/>
        <v/>
      </c>
    </row>
    <row r="957" spans="1:40">
      <c r="A957" s="7"/>
      <c r="B957" s="8" t="s">
        <v>19</v>
      </c>
      <c r="C957" s="8" t="s">
        <v>18</v>
      </c>
      <c r="D957" s="8" t="s">
        <v>18</v>
      </c>
      <c r="E957" s="8" t="s">
        <v>88</v>
      </c>
      <c r="F957" s="8" t="s">
        <v>17</v>
      </c>
      <c r="I957" s="2" t="s">
        <v>89</v>
      </c>
      <c r="L957" s="2"/>
      <c r="U957" s="155">
        <f>N935</f>
        <v>0</v>
      </c>
      <c r="V957" s="2">
        <v>40</v>
      </c>
      <c r="W957" s="2">
        <v>19.2</v>
      </c>
      <c r="X957" s="2">
        <v>20.3</v>
      </c>
      <c r="Y957" s="2">
        <v>21.3</v>
      </c>
      <c r="Z957" s="155">
        <v>22</v>
      </c>
      <c r="AA957" s="2">
        <v>22.6</v>
      </c>
      <c r="AB957" s="155">
        <v>21</v>
      </c>
      <c r="AC957" t="str">
        <f t="shared" si="303"/>
        <v/>
      </c>
      <c r="AE957" s="155">
        <f>N945</f>
        <v>0</v>
      </c>
      <c r="AF957" s="2">
        <v>40</v>
      </c>
      <c r="AG957" s="2">
        <v>37.799999999999997</v>
      </c>
      <c r="AH957" s="2"/>
      <c r="AI957" s="2"/>
      <c r="AJ957" s="2"/>
      <c r="AK957" s="2">
        <v>44.4</v>
      </c>
      <c r="AL957" s="2"/>
      <c r="AM957" t="str">
        <f t="shared" si="304"/>
        <v>Verbinder</v>
      </c>
      <c r="AN957" t="str">
        <f t="shared" si="293"/>
        <v/>
      </c>
    </row>
    <row r="958" spans="1:40">
      <c r="A958" s="41" t="s">
        <v>238</v>
      </c>
      <c r="B958" s="32">
        <v>1</v>
      </c>
      <c r="C958" s="60">
        <v>12</v>
      </c>
      <c r="D958" s="60">
        <v>49</v>
      </c>
      <c r="E958" s="59">
        <f>0.082*(1-0.01*C958)*$B$988/(1.35+0.015*C964)</f>
        <v>16.507189542483658</v>
      </c>
      <c r="F958" s="59">
        <f>B958*MIN(0.4*C958*D958*E958/1000,1.15/1000*SQRT(2*I958*E958*C958)+((0.52*SQRT(C958)*D958^0.9*$B$988^0.8)/1000)/4)</f>
        <v>3.8824909803921575</v>
      </c>
      <c r="G958" s="49" t="s">
        <v>239</v>
      </c>
      <c r="H958" s="49"/>
      <c r="I958" s="167">
        <f t="shared" ref="I958:I967" si="305">0.15*600*C958^2.6</f>
        <v>57559.067465202104</v>
      </c>
      <c r="L958" s="2"/>
      <c r="U958" s="2"/>
      <c r="V958" s="2">
        <v>50</v>
      </c>
      <c r="W958" s="2">
        <v>17.3</v>
      </c>
      <c r="X958" s="2">
        <v>18.3</v>
      </c>
      <c r="Y958" s="2">
        <v>19.2</v>
      </c>
      <c r="Z958" s="2">
        <v>19.8</v>
      </c>
      <c r="AA958" s="2">
        <v>20.399999999999999</v>
      </c>
      <c r="AB958" s="2">
        <v>18.899999999999999</v>
      </c>
      <c r="AC958" t="str">
        <f t="shared" si="303"/>
        <v/>
      </c>
      <c r="AE958" s="2"/>
      <c r="AF958" s="2">
        <v>50</v>
      </c>
      <c r="AG958" s="2">
        <v>34</v>
      </c>
      <c r="AH958" s="2"/>
      <c r="AI958" s="2"/>
      <c r="AJ958" s="2"/>
      <c r="AK958" s="2">
        <v>39.799999999999997</v>
      </c>
      <c r="AL958" s="2"/>
      <c r="AM958" t="str">
        <f t="shared" si="304"/>
        <v/>
      </c>
      <c r="AN958" t="str">
        <f t="shared" si="293"/>
        <v/>
      </c>
    </row>
    <row r="959" spans="1:40">
      <c r="A959" s="41" t="s">
        <v>240</v>
      </c>
      <c r="B959" s="32">
        <v>1</v>
      </c>
      <c r="C959" s="60">
        <v>12</v>
      </c>
      <c r="D959" s="60">
        <v>45</v>
      </c>
      <c r="E959" s="59">
        <f>0.082*(1-0.01*C959)*$B$988/(1.35+0.015*C959)</f>
        <v>16.507189542483658</v>
      </c>
      <c r="F959" s="59">
        <f>B959*MIN(0.4*C959*D959*E959/1000,1.15/1000*SQRT(2*I959*E959*C959)+((0.52*SQRT(C959)*D959^0.9*$B$988^0.8)/1000)/4)</f>
        <v>3.5655529411764704</v>
      </c>
      <c r="G959" s="49" t="s">
        <v>241</v>
      </c>
      <c r="H959" s="49"/>
      <c r="I959" s="167">
        <f t="shared" si="305"/>
        <v>57559.067465202104</v>
      </c>
      <c r="L959" s="2"/>
      <c r="U959" s="2"/>
      <c r="V959" s="2"/>
      <c r="W959" s="2"/>
      <c r="X959" s="2"/>
      <c r="Y959" s="2"/>
      <c r="Z959" s="2"/>
      <c r="AA959" s="2"/>
      <c r="AB959" s="2"/>
      <c r="AE959" s="2"/>
      <c r="AF959" s="2"/>
      <c r="AG959" s="2"/>
      <c r="AH959" s="2"/>
      <c r="AI959" s="2"/>
      <c r="AJ959" s="2"/>
      <c r="AK959" s="2"/>
      <c r="AL959" s="2"/>
    </row>
    <row r="960" spans="1:40">
      <c r="A960" s="41" t="s">
        <v>745</v>
      </c>
      <c r="B960" s="32">
        <v>1</v>
      </c>
      <c r="C960" s="60">
        <v>8</v>
      </c>
      <c r="D960" s="60">
        <v>60</v>
      </c>
      <c r="E960" s="59">
        <f>0.082*(1-0.01*C960)*$B$988/(1.35+0.015*C966)</f>
        <v>16.606289308176102</v>
      </c>
      <c r="F960" s="59">
        <f>B960*MIN(0.4*C960*D960*E960/1000,1.15/1000*SQRT(2*I960*E960*C960)+((0.52*SQRT(C960)*D960^0.9*$B$988^0.8)/1000)/4)</f>
        <v>3.1884075471698115</v>
      </c>
      <c r="G960" s="49" t="s">
        <v>239</v>
      </c>
      <c r="H960" s="49"/>
      <c r="I960" s="167">
        <v>20000</v>
      </c>
      <c r="L960" s="2"/>
      <c r="U960" s="2"/>
      <c r="V960" s="2"/>
      <c r="W960" s="2"/>
      <c r="X960" s="2"/>
      <c r="Y960" s="2"/>
      <c r="Z960" s="2"/>
      <c r="AA960" s="2"/>
      <c r="AB960" s="2"/>
      <c r="AE960" s="2"/>
      <c r="AF960" s="2"/>
      <c r="AG960" s="2"/>
      <c r="AH960" s="2"/>
      <c r="AI960" s="2"/>
      <c r="AJ960" s="2"/>
      <c r="AK960" s="2"/>
      <c r="AL960" s="2"/>
    </row>
    <row r="961" spans="1:40">
      <c r="A961" s="41" t="s">
        <v>743</v>
      </c>
      <c r="B961" s="32">
        <v>1</v>
      </c>
      <c r="C961" s="60">
        <v>30</v>
      </c>
      <c r="D961" s="60">
        <v>55</v>
      </c>
      <c r="E961" s="59">
        <f>0.082*(1-0.01*C961)*$B$988/(1.35+0.015*C961)</f>
        <v>11.161111111111111</v>
      </c>
      <c r="F961" s="59">
        <f>B961*(0.4*C961*D961*E961/1000)</f>
        <v>7.3663333333333343</v>
      </c>
      <c r="G961" s="49"/>
      <c r="H961" s="49"/>
      <c r="I961" s="167"/>
      <c r="L961" s="2"/>
      <c r="U961" s="2"/>
      <c r="V961" s="2"/>
      <c r="W961" s="2"/>
      <c r="X961" s="2"/>
      <c r="Y961" s="2"/>
      <c r="Z961" s="2"/>
      <c r="AA961" s="2"/>
      <c r="AB961" s="2"/>
      <c r="AE961" s="2"/>
      <c r="AF961" s="2"/>
      <c r="AG961" s="2"/>
      <c r="AH961" s="2"/>
      <c r="AI961" s="2"/>
      <c r="AJ961" s="2"/>
      <c r="AK961" s="2"/>
      <c r="AL961" s="2"/>
    </row>
    <row r="962" spans="1:40">
      <c r="A962" s="41" t="s">
        <v>753</v>
      </c>
      <c r="B962" s="32">
        <v>1</v>
      </c>
      <c r="C962" s="60">
        <v>22</v>
      </c>
      <c r="D962" s="60">
        <v>24.5</v>
      </c>
      <c r="E962" s="59">
        <f>0.082*(1-0.01*C962)*$B$988/(1.35+0.015*C962)</f>
        <v>13.325000000000001</v>
      </c>
      <c r="F962" s="59">
        <f>B962*(0.4*C962*D962*E962/1000)</f>
        <v>2.8728700000000003</v>
      </c>
      <c r="G962" s="49"/>
      <c r="H962" s="49"/>
      <c r="I962" s="167"/>
      <c r="L962" s="2"/>
      <c r="U962" s="2"/>
      <c r="V962" s="2"/>
      <c r="W962" s="2"/>
      <c r="X962" s="2"/>
      <c r="Y962" s="2"/>
      <c r="Z962" s="2"/>
      <c r="AA962" s="2"/>
      <c r="AB962" s="2"/>
      <c r="AE962" s="2"/>
      <c r="AF962" s="2"/>
      <c r="AG962" s="2"/>
      <c r="AH962" s="2"/>
      <c r="AI962" s="2"/>
      <c r="AJ962" s="2"/>
      <c r="AK962" s="2"/>
      <c r="AL962" s="2"/>
    </row>
    <row r="963" spans="1:40">
      <c r="A963" s="41" t="s">
        <v>242</v>
      </c>
      <c r="B963" s="32">
        <v>1</v>
      </c>
      <c r="C963" s="60">
        <v>12</v>
      </c>
      <c r="D963" s="60">
        <v>49</v>
      </c>
      <c r="E963" s="59">
        <f>0.082*(1-0.01*C963)*$B$988</f>
        <v>25.256</v>
      </c>
      <c r="F963" s="59">
        <f t="shared" ref="F963:F968" si="306">B963*MIN(0.4*C963*D963*E963/1000,1.15/1000*SQRT(2*I963*E963*C963)+((0.52*SQRT(C963)*D963^0.9*$B$988^0.8)/1000)/4)</f>
        <v>5.9402112000000011</v>
      </c>
      <c r="G963" s="49"/>
      <c r="H963" s="49"/>
      <c r="I963" s="167">
        <f t="shared" si="305"/>
        <v>57559.067465202104</v>
      </c>
      <c r="L963" s="2"/>
      <c r="U963" s="2"/>
      <c r="V963" s="2"/>
      <c r="W963" s="2"/>
      <c r="X963" s="2"/>
      <c r="Y963" s="2"/>
      <c r="Z963" s="2"/>
      <c r="AA963" s="2"/>
      <c r="AB963" s="2"/>
      <c r="AE963" s="2"/>
      <c r="AF963" s="2"/>
      <c r="AG963" s="2"/>
      <c r="AH963" s="2"/>
      <c r="AI963" s="2"/>
      <c r="AJ963" s="2"/>
      <c r="AK963" s="2"/>
      <c r="AL963" s="2"/>
    </row>
    <row r="964" spans="1:40">
      <c r="A964" s="41" t="s">
        <v>243</v>
      </c>
      <c r="B964" s="32">
        <v>1</v>
      </c>
      <c r="C964" s="60">
        <v>12</v>
      </c>
      <c r="D964" s="60">
        <v>49</v>
      </c>
      <c r="E964" s="59">
        <f>0.082*(1-0.01*C964)*$B$988</f>
        <v>25.256</v>
      </c>
      <c r="F964" s="59">
        <f t="shared" si="306"/>
        <v>5.9402112000000011</v>
      </c>
      <c r="G964" s="49"/>
      <c r="H964" s="49"/>
      <c r="I964" s="167">
        <f t="shared" si="305"/>
        <v>57559.067465202104</v>
      </c>
      <c r="L964" s="2"/>
      <c r="U964" s="2"/>
      <c r="V964" s="2"/>
      <c r="W964" s="2"/>
      <c r="X964" s="2"/>
      <c r="Y964" s="2"/>
      <c r="Z964" s="2"/>
      <c r="AA964" s="2"/>
      <c r="AB964" s="2"/>
      <c r="AE964" s="2"/>
      <c r="AF964" s="2"/>
      <c r="AG964" s="2"/>
      <c r="AH964" s="2"/>
      <c r="AI964" s="2"/>
      <c r="AJ964" s="2"/>
      <c r="AK964" s="2"/>
      <c r="AL964" s="2"/>
    </row>
    <row r="965" spans="1:40">
      <c r="A965" s="41" t="s">
        <v>244</v>
      </c>
      <c r="B965" s="32">
        <v>1</v>
      </c>
      <c r="C965" s="60">
        <v>16</v>
      </c>
      <c r="D965" s="60">
        <v>46</v>
      </c>
      <c r="E965" s="59">
        <f t="shared" ref="E965:E970" si="307">0.082*(1-0.01*C965)*$B$988/(1.35+0.015*C965)</f>
        <v>15.162264150943395</v>
      </c>
      <c r="F965" s="59">
        <f t="shared" si="306"/>
        <v>4.463770566037736</v>
      </c>
      <c r="G965" s="49" t="s">
        <v>239</v>
      </c>
      <c r="H965" s="49"/>
      <c r="I965" s="167">
        <f t="shared" si="305"/>
        <v>121605.84905682993</v>
      </c>
      <c r="L965" s="2"/>
      <c r="U965" s="2"/>
      <c r="V965" s="2">
        <v>60</v>
      </c>
      <c r="W965" s="2">
        <v>15.7</v>
      </c>
      <c r="X965" s="2">
        <v>16.600000000000001</v>
      </c>
      <c r="Y965" s="2">
        <v>17.399999999999999</v>
      </c>
      <c r="Z965" s="155">
        <v>18</v>
      </c>
      <c r="AA965" s="2">
        <v>18.5</v>
      </c>
      <c r="AB965" s="2">
        <v>17.2</v>
      </c>
      <c r="AC965" t="str">
        <f t="shared" si="303"/>
        <v/>
      </c>
      <c r="AE965" s="2"/>
      <c r="AF965" s="2">
        <v>60</v>
      </c>
      <c r="AG965" s="2">
        <v>30.8</v>
      </c>
      <c r="AH965" s="2"/>
      <c r="AI965" s="2"/>
      <c r="AJ965" s="2"/>
      <c r="AK965" s="2">
        <v>36</v>
      </c>
      <c r="AL965" s="2"/>
      <c r="AM965" t="str">
        <f t="shared" si="304"/>
        <v/>
      </c>
      <c r="AN965" t="str">
        <f t="shared" si="293"/>
        <v/>
      </c>
    </row>
    <row r="966" spans="1:40">
      <c r="A966" s="41" t="s">
        <v>245</v>
      </c>
      <c r="B966" s="32">
        <v>1</v>
      </c>
      <c r="C966" s="60">
        <v>16</v>
      </c>
      <c r="D966" s="60">
        <v>46</v>
      </c>
      <c r="E966" s="59">
        <f t="shared" si="307"/>
        <v>15.162264150943395</v>
      </c>
      <c r="F966" s="59">
        <f t="shared" si="306"/>
        <v>4.463770566037736</v>
      </c>
      <c r="G966" s="49" t="s">
        <v>239</v>
      </c>
      <c r="H966" s="49"/>
      <c r="I966" s="167">
        <f>0.15*600*C966^2.6</f>
        <v>121605.84905682993</v>
      </c>
      <c r="L966" s="2"/>
      <c r="U966" s="2"/>
      <c r="V966" s="2"/>
      <c r="W966" s="2"/>
      <c r="X966" s="2"/>
      <c r="Y966" s="2"/>
      <c r="Z966" s="155"/>
      <c r="AA966" s="2"/>
      <c r="AB966" s="2"/>
      <c r="AE966" s="2"/>
      <c r="AF966" s="2"/>
      <c r="AG966" s="2"/>
      <c r="AH966" s="2"/>
      <c r="AI966" s="2"/>
      <c r="AJ966" s="2"/>
      <c r="AK966" s="2"/>
      <c r="AL966" s="2"/>
    </row>
    <row r="967" spans="1:40">
      <c r="A967" s="41" t="s">
        <v>246</v>
      </c>
      <c r="B967" s="32">
        <v>1</v>
      </c>
      <c r="C967" s="60">
        <v>16</v>
      </c>
      <c r="D967" s="60">
        <v>45</v>
      </c>
      <c r="E967" s="59">
        <f t="shared" si="307"/>
        <v>15.162264150943395</v>
      </c>
      <c r="F967" s="59">
        <f t="shared" si="306"/>
        <v>4.3667320754716972</v>
      </c>
      <c r="G967" s="49" t="s">
        <v>241</v>
      </c>
      <c r="H967" s="49"/>
      <c r="I967" s="167">
        <f t="shared" si="305"/>
        <v>121605.84905682993</v>
      </c>
      <c r="L967" s="2"/>
      <c r="U967" s="2"/>
      <c r="V967" s="2"/>
      <c r="W967" s="2"/>
      <c r="X967" s="2"/>
      <c r="Y967" s="2"/>
      <c r="Z967" s="155"/>
      <c r="AA967" s="2"/>
      <c r="AB967" s="2"/>
      <c r="AE967" s="2"/>
      <c r="AF967" s="2"/>
      <c r="AG967" s="2"/>
      <c r="AH967" s="2"/>
      <c r="AI967" s="2"/>
      <c r="AJ967" s="2"/>
      <c r="AK967" s="2"/>
      <c r="AL967" s="2"/>
    </row>
    <row r="968" spans="1:40">
      <c r="A968" s="41" t="s">
        <v>247</v>
      </c>
      <c r="B968" s="32">
        <v>1</v>
      </c>
      <c r="C968" s="60">
        <v>10</v>
      </c>
      <c r="D968" s="60">
        <v>60</v>
      </c>
      <c r="E968" s="59">
        <f t="shared" si="307"/>
        <v>17.220000000000002</v>
      </c>
      <c r="F968" s="59">
        <f t="shared" si="306"/>
        <v>4.1328000000000005</v>
      </c>
      <c r="G968" s="49" t="s">
        <v>239</v>
      </c>
      <c r="H968" s="49"/>
      <c r="I968" s="167">
        <v>35000</v>
      </c>
      <c r="L968" s="2"/>
      <c r="U968" s="2"/>
      <c r="V968" s="2"/>
      <c r="W968" s="2"/>
      <c r="X968" s="2"/>
      <c r="Y968" s="2"/>
      <c r="Z968" s="155"/>
      <c r="AA968" s="2"/>
      <c r="AB968" s="2"/>
      <c r="AE968" s="2"/>
      <c r="AF968" s="2"/>
      <c r="AG968" s="2"/>
      <c r="AH968" s="2"/>
      <c r="AI968" s="2"/>
      <c r="AJ968" s="2"/>
      <c r="AK968" s="2"/>
      <c r="AL968" s="2"/>
    </row>
    <row r="969" spans="1:40">
      <c r="A969" s="41" t="s">
        <v>744</v>
      </c>
      <c r="B969" s="32">
        <v>1</v>
      </c>
      <c r="C969" s="60">
        <v>36</v>
      </c>
      <c r="D969" s="60">
        <v>65</v>
      </c>
      <c r="E969" s="59">
        <f t="shared" si="307"/>
        <v>9.7185185185185183</v>
      </c>
      <c r="F969" s="59">
        <f>B969*(0.4*C969*D969*E969/1000)</f>
        <v>9.0965333333333334</v>
      </c>
      <c r="G969" s="49" t="s">
        <v>239</v>
      </c>
      <c r="H969" s="49"/>
      <c r="I969" s="167"/>
      <c r="L969" s="2"/>
      <c r="U969" s="2"/>
      <c r="V969" s="2"/>
      <c r="W969" s="2"/>
      <c r="X969" s="2"/>
      <c r="Y969" s="2"/>
      <c r="Z969" s="155"/>
      <c r="AA969" s="2"/>
      <c r="AB969" s="2"/>
      <c r="AE969" s="2"/>
      <c r="AF969" s="2"/>
      <c r="AG969" s="2"/>
      <c r="AH969" s="2"/>
      <c r="AI969" s="2"/>
      <c r="AJ969" s="2"/>
      <c r="AK969" s="2"/>
      <c r="AL969" s="2"/>
    </row>
    <row r="970" spans="1:40">
      <c r="A970" s="41" t="s">
        <v>755</v>
      </c>
      <c r="B970" s="32">
        <v>1</v>
      </c>
      <c r="C970" s="60">
        <v>25</v>
      </c>
      <c r="D970" s="60">
        <v>30</v>
      </c>
      <c r="E970" s="59">
        <f t="shared" si="307"/>
        <v>12.478260869565215</v>
      </c>
      <c r="F970" s="59">
        <f>B970*(0.4*C970*D970*E970/1000)</f>
        <v>3.7434782608695647</v>
      </c>
      <c r="G970" s="49" t="s">
        <v>239</v>
      </c>
      <c r="H970" s="49"/>
      <c r="I970" s="167"/>
      <c r="L970" s="2"/>
      <c r="U970" s="2"/>
      <c r="V970" s="2"/>
      <c r="W970" s="2"/>
      <c r="X970" s="2"/>
      <c r="Y970" s="2"/>
      <c r="Z970" s="155"/>
      <c r="AA970" s="2"/>
      <c r="AB970" s="2"/>
      <c r="AE970" s="2"/>
      <c r="AF970" s="2"/>
      <c r="AG970" s="2"/>
      <c r="AH970" s="2"/>
      <c r="AI970" s="2"/>
      <c r="AJ970" s="2"/>
      <c r="AK970" s="2"/>
      <c r="AL970" s="2"/>
    </row>
    <row r="971" spans="1:40">
      <c r="A971" s="41" t="s">
        <v>248</v>
      </c>
      <c r="B971" s="32">
        <v>1</v>
      </c>
      <c r="C971" s="60">
        <v>16</v>
      </c>
      <c r="D971" s="60">
        <v>46</v>
      </c>
      <c r="E971" s="59">
        <f>0.082*(1-0.01*C971)*$B$988</f>
        <v>24.108000000000001</v>
      </c>
      <c r="F971" s="59">
        <f>B971*MIN(0.4*C971*D971*E971/1000,1.15/1000*SQRT(2*I972*E971*C971)+((0.52*SQRT(C971)*D971^0.9*$B$988^0.8)/1000)/4)</f>
        <v>7.0973952000000011</v>
      </c>
      <c r="G971" s="49"/>
      <c r="H971" s="49"/>
      <c r="I971" s="167">
        <f>0.15*600*C972^2.6</f>
        <v>121605.84905682993</v>
      </c>
      <c r="L971" s="2"/>
      <c r="U971" s="2"/>
      <c r="V971" s="2"/>
      <c r="W971" s="2"/>
      <c r="X971" s="2"/>
      <c r="Y971" s="2"/>
      <c r="Z971" s="155"/>
      <c r="AA971" s="2"/>
      <c r="AB971" s="2"/>
      <c r="AE971" s="2"/>
      <c r="AF971" s="2"/>
      <c r="AG971" s="2"/>
      <c r="AH971" s="2"/>
      <c r="AI971" s="2"/>
      <c r="AJ971" s="2"/>
      <c r="AK971" s="2"/>
      <c r="AL971" s="2"/>
    </row>
    <row r="972" spans="1:40">
      <c r="A972" s="41" t="s">
        <v>249</v>
      </c>
      <c r="B972" s="32">
        <v>1</v>
      </c>
      <c r="C972" s="60">
        <v>16</v>
      </c>
      <c r="D972" s="60">
        <v>46</v>
      </c>
      <c r="E972" s="59">
        <f>0.082*(1-0.01*C972)*$B$988</f>
        <v>24.108000000000001</v>
      </c>
      <c r="F972" s="59">
        <f>B972*MIN(0.4*C972*D972*E972/1000,1.15/1000*SQRT(2*I971*E972*C972)+((0.52*SQRT(C972)*D972^0.9*$B$988^0.8)/1000)/4)</f>
        <v>7.0973952000000011</v>
      </c>
      <c r="G972" s="49"/>
      <c r="H972" s="49"/>
      <c r="I972" s="167">
        <f>0.15*600*C971^2.6</f>
        <v>121605.84905682993</v>
      </c>
      <c r="L972" s="2"/>
      <c r="U972" s="2"/>
      <c r="V972" s="2"/>
      <c r="W972" s="2"/>
      <c r="X972" s="2"/>
      <c r="Y972" s="2"/>
      <c r="Z972" s="155"/>
      <c r="AA972" s="2"/>
      <c r="AB972" s="2"/>
      <c r="AE972" s="2"/>
      <c r="AF972" s="2"/>
      <c r="AG972" s="2"/>
      <c r="AH972" s="2"/>
      <c r="AI972" s="2"/>
      <c r="AJ972" s="2"/>
      <c r="AK972" s="2"/>
      <c r="AL972" s="2"/>
    </row>
    <row r="973" spans="1:40">
      <c r="B973" s="49"/>
      <c r="C973" s="49"/>
      <c r="D973" s="49"/>
      <c r="E973" s="49"/>
      <c r="F973" s="49"/>
      <c r="G973" s="49"/>
      <c r="H973" s="49"/>
      <c r="I973" s="49"/>
      <c r="U973" s="2"/>
      <c r="V973" s="2">
        <v>70</v>
      </c>
      <c r="W973" s="2">
        <v>14.4</v>
      </c>
      <c r="X973" s="2">
        <v>15.2</v>
      </c>
      <c r="Y973" s="155">
        <v>16</v>
      </c>
      <c r="Z973" s="2">
        <v>16.399999999999999</v>
      </c>
      <c r="AA973" s="2">
        <v>16.899999999999999</v>
      </c>
      <c r="AB973" s="2">
        <v>15.7</v>
      </c>
      <c r="AC973" t="str">
        <f t="shared" si="303"/>
        <v/>
      </c>
      <c r="AE973" s="2"/>
      <c r="AF973" s="2">
        <v>70</v>
      </c>
      <c r="AG973" s="2">
        <v>28.2</v>
      </c>
      <c r="AH973" s="2"/>
      <c r="AI973" s="2"/>
      <c r="AJ973" s="2"/>
      <c r="AK973" s="2">
        <v>32.9</v>
      </c>
      <c r="AL973" s="2"/>
      <c r="AM973" t="str">
        <f t="shared" si="304"/>
        <v/>
      </c>
      <c r="AN973" t="str">
        <f t="shared" si="293"/>
        <v/>
      </c>
    </row>
    <row r="974" spans="1:40" ht="18">
      <c r="A974" s="3" t="s">
        <v>2</v>
      </c>
      <c r="B974" s="102" t="s">
        <v>41</v>
      </c>
      <c r="C974" s="102" t="s">
        <v>9</v>
      </c>
      <c r="D974" s="102" t="s">
        <v>107</v>
      </c>
      <c r="E974" s="102" t="s">
        <v>108</v>
      </c>
      <c r="F974" s="102" t="s">
        <v>77</v>
      </c>
      <c r="G974" s="102" t="s">
        <v>109</v>
      </c>
      <c r="H974" s="102" t="s">
        <v>110</v>
      </c>
      <c r="I974" s="49"/>
    </row>
    <row r="975" spans="1:40">
      <c r="A975" s="7"/>
      <c r="B975" s="44" t="s">
        <v>19</v>
      </c>
      <c r="C975" s="44" t="s">
        <v>18</v>
      </c>
      <c r="D975" s="44" t="s">
        <v>89</v>
      </c>
      <c r="E975" s="44" t="s">
        <v>88</v>
      </c>
      <c r="F975" s="44" t="s">
        <v>18</v>
      </c>
      <c r="G975" s="44" t="s">
        <v>17</v>
      </c>
      <c r="H975" s="44" t="s">
        <v>17</v>
      </c>
      <c r="I975" s="49"/>
    </row>
    <row r="976" spans="1:40">
      <c r="A976" s="41" t="s">
        <v>250</v>
      </c>
      <c r="B976" s="32">
        <v>2</v>
      </c>
      <c r="C976" s="60">
        <v>6</v>
      </c>
      <c r="D976" s="60">
        <v>6300</v>
      </c>
      <c r="E976" s="59">
        <f>(0.082)*$B$988*C976^-0.3</f>
        <v>16.766272546647741</v>
      </c>
      <c r="F976" s="60">
        <v>44</v>
      </c>
      <c r="G976" s="168">
        <f>(0.52*SQRT(C976)*44^0.9*$B$988^0.8)/1200</f>
        <v>3.4694414845552783</v>
      </c>
      <c r="H976" s="59">
        <f t="shared" ref="H976:H985" si="308">B976*MIN((2.3*SQRT(C976*D976*E976))/1000+G976/4,E976*C976*F976/1000,E976*C976*F976/1000*(SQRT(2+4*D976/(C976*E976*F976^2))-1)+G976/4)</f>
        <v>5.3967515400578954</v>
      </c>
      <c r="I976" s="49" t="s">
        <v>251</v>
      </c>
      <c r="U976" s="2"/>
      <c r="V976" s="2" t="s">
        <v>252</v>
      </c>
      <c r="W976" s="2">
        <v>350</v>
      </c>
      <c r="X976" s="2">
        <v>380</v>
      </c>
      <c r="Y976" s="2">
        <v>410</v>
      </c>
      <c r="Z976" s="2">
        <v>430</v>
      </c>
      <c r="AA976" s="2">
        <v>450</v>
      </c>
      <c r="AB976" s="2">
        <v>400</v>
      </c>
      <c r="AC976" s="2"/>
      <c r="AE976" s="2"/>
      <c r="AF976" s="2" t="s">
        <v>253</v>
      </c>
      <c r="AG976" s="2">
        <v>350</v>
      </c>
      <c r="AH976" s="2">
        <v>380</v>
      </c>
      <c r="AI976" s="2">
        <v>410</v>
      </c>
      <c r="AJ976" s="2">
        <v>430</v>
      </c>
      <c r="AK976" s="2">
        <v>450</v>
      </c>
      <c r="AL976" s="2">
        <v>400</v>
      </c>
      <c r="AM976" s="2"/>
    </row>
    <row r="977" spans="1:40">
      <c r="A977" s="41" t="s">
        <v>746</v>
      </c>
      <c r="B977" s="32">
        <v>2</v>
      </c>
      <c r="C977" s="60">
        <v>6</v>
      </c>
      <c r="D977" s="60">
        <v>6300</v>
      </c>
      <c r="E977" s="59">
        <v>16.766272546647741</v>
      </c>
      <c r="F977" s="60">
        <v>44</v>
      </c>
      <c r="G977" s="168">
        <v>3.4694414845552783</v>
      </c>
      <c r="H977" s="59">
        <v>5.3967515400578954</v>
      </c>
      <c r="I977" s="49" t="s">
        <v>251</v>
      </c>
      <c r="U977" s="2"/>
      <c r="V977" s="2"/>
      <c r="W977" s="2"/>
      <c r="X977" s="2"/>
      <c r="Y977" s="2"/>
      <c r="Z977" s="2"/>
      <c r="AA977" s="2"/>
      <c r="AB977" s="2"/>
      <c r="AC977" s="2"/>
      <c r="AE977" s="2"/>
      <c r="AF977" s="2"/>
      <c r="AG977" s="2"/>
      <c r="AH977" s="2"/>
      <c r="AI977" s="2"/>
      <c r="AJ977" s="2"/>
      <c r="AK977" s="2"/>
      <c r="AL977" s="2"/>
      <c r="AM977" s="2"/>
    </row>
    <row r="978" spans="1:40">
      <c r="A978" s="41" t="s">
        <v>754</v>
      </c>
      <c r="B978" s="32">
        <v>2</v>
      </c>
      <c r="C978" s="60">
        <v>6</v>
      </c>
      <c r="D978" s="60">
        <v>6300</v>
      </c>
      <c r="E978" s="59">
        <f>(0.082)*$B$988*C978^-0.3</f>
        <v>16.766272546647741</v>
      </c>
      <c r="F978" s="60">
        <v>45</v>
      </c>
      <c r="G978" s="168">
        <f>(0.52*SQRT(C978)*44^0.9*$B$988^0.8)/1200</f>
        <v>3.4694414845552783</v>
      </c>
      <c r="H978" s="59">
        <f t="shared" ref="H978" si="309">B978*MIN((2.3*SQRT(C978*D978*E978))/1000+G978/4,E978*C978*F978/1000,E978*C978*F978/1000*(SQRT(2+4*D978/(C978*E978*F978^2))-1)+G978/4)</f>
        <v>5.3967515400578954</v>
      </c>
      <c r="I978" s="49" t="s">
        <v>251</v>
      </c>
      <c r="U978" s="2"/>
      <c r="V978" s="2"/>
      <c r="W978" s="2"/>
      <c r="X978" s="2"/>
      <c r="Y978" s="2"/>
      <c r="Z978" s="2"/>
      <c r="AA978" s="2"/>
      <c r="AB978" s="2"/>
      <c r="AC978" s="2"/>
      <c r="AE978" s="2"/>
      <c r="AF978" s="2"/>
      <c r="AG978" s="2"/>
      <c r="AH978" s="2"/>
      <c r="AI978" s="2"/>
      <c r="AJ978" s="2"/>
      <c r="AK978" s="2"/>
      <c r="AL978" s="2"/>
      <c r="AM978" s="2"/>
    </row>
    <row r="979" spans="1:40">
      <c r="A979" s="41" t="s">
        <v>242</v>
      </c>
      <c r="B979" s="32">
        <v>2</v>
      </c>
      <c r="C979" s="60">
        <v>6</v>
      </c>
      <c r="D979" s="60">
        <v>6300</v>
      </c>
      <c r="E979" s="59">
        <f>(0.033+0)*$B$988*C979^-0.3</f>
        <v>6.7474023663338469</v>
      </c>
      <c r="F979" s="60">
        <v>44</v>
      </c>
      <c r="G979" s="168">
        <f>(0.52*SQRT(C979)*44^0.9*$B$988^0.8)/1200</f>
        <v>3.4694414845552783</v>
      </c>
      <c r="H979" s="59">
        <f t="shared" si="308"/>
        <v>3.5626284494242708</v>
      </c>
      <c r="I979" s="49"/>
      <c r="U979" s="2"/>
      <c r="V979" s="2"/>
      <c r="W979" s="2"/>
      <c r="X979" s="2"/>
      <c r="Y979" s="2"/>
      <c r="Z979" s="2"/>
      <c r="AA979" s="2"/>
      <c r="AB979" s="2"/>
      <c r="AC979" s="2"/>
      <c r="AE979" s="2"/>
      <c r="AF979" s="2"/>
      <c r="AG979" s="2"/>
      <c r="AH979" s="2"/>
      <c r="AI979" s="2"/>
      <c r="AJ979" s="2"/>
      <c r="AK979" s="2"/>
      <c r="AL979" s="2"/>
      <c r="AM979" s="2"/>
    </row>
    <row r="980" spans="1:40">
      <c r="A980" s="41" t="s">
        <v>243</v>
      </c>
      <c r="B980" s="32">
        <v>2</v>
      </c>
      <c r="C980" s="60">
        <v>6</v>
      </c>
      <c r="D980" s="60">
        <v>6300</v>
      </c>
      <c r="E980" s="59">
        <f>(0.082)*$B$988*C980^-0.3</f>
        <v>16.766272546647741</v>
      </c>
      <c r="F980" s="60">
        <v>44</v>
      </c>
      <c r="G980" s="168">
        <f>(0.52*SQRT(C980)*44^0.9*$B$988^0.8)/1000</f>
        <v>4.1633297814663335</v>
      </c>
      <c r="H980" s="59">
        <f t="shared" si="308"/>
        <v>5.7436956885134229</v>
      </c>
      <c r="I980" s="49"/>
      <c r="U980" s="2"/>
      <c r="V980" s="2"/>
      <c r="W980" s="2"/>
      <c r="X980" s="2"/>
      <c r="Y980" s="2"/>
      <c r="Z980" s="2"/>
      <c r="AA980" s="2"/>
      <c r="AB980" s="2"/>
      <c r="AC980" s="2"/>
      <c r="AE980" s="2"/>
      <c r="AF980" s="2"/>
      <c r="AG980" s="2"/>
      <c r="AH980" s="2"/>
      <c r="AI980" s="2"/>
      <c r="AJ980" s="2"/>
      <c r="AK980" s="2"/>
      <c r="AL980" s="2"/>
      <c r="AM980" s="2"/>
    </row>
    <row r="981" spans="1:40">
      <c r="A981" s="41" t="s">
        <v>244</v>
      </c>
      <c r="B981" s="32">
        <v>2</v>
      </c>
      <c r="C981" s="60">
        <v>10</v>
      </c>
      <c r="D981" s="60">
        <v>23900</v>
      </c>
      <c r="E981" s="59">
        <f>(0.082+0)*$B$988*C981^-0.3</f>
        <v>14.384073605102715</v>
      </c>
      <c r="F981" s="60">
        <v>54</v>
      </c>
      <c r="G981" s="59">
        <f>(0.52*SQRT(C981)*50^0.9*$B$988^0.8)/1200</f>
        <v>5.0251558670694791</v>
      </c>
      <c r="H981" s="59">
        <f t="shared" si="308"/>
        <v>10.165376161070458</v>
      </c>
      <c r="I981" s="49" t="s">
        <v>239</v>
      </c>
      <c r="U981" s="2"/>
      <c r="V981" s="155">
        <v>10</v>
      </c>
      <c r="W981" s="2">
        <v>28.2</v>
      </c>
      <c r="X981" s="2">
        <v>29.8</v>
      </c>
      <c r="Y981" s="2">
        <v>31.4</v>
      </c>
      <c r="Z981" s="2">
        <v>32.5</v>
      </c>
      <c r="AA981" s="2">
        <v>33.5</v>
      </c>
      <c r="AB981" s="2">
        <v>30.9</v>
      </c>
      <c r="AC981" t="str">
        <f>IF(MAX(W981:AB981)/1.3&gt;U$988,"Verbinder","")</f>
        <v/>
      </c>
      <c r="AE981" s="2"/>
      <c r="AF981" s="155">
        <v>10</v>
      </c>
      <c r="AG981" s="2">
        <v>66.5</v>
      </c>
      <c r="AH981" s="2"/>
      <c r="AI981" s="2"/>
      <c r="AJ981" s="2"/>
      <c r="AK981" s="2">
        <v>78.7</v>
      </c>
      <c r="AL981" s="2"/>
      <c r="AM981" t="str">
        <f>IF(MAX(AG981:AL981)/1.3&gt;AE$988,"Verbinder","")</f>
        <v>Verbinder</v>
      </c>
      <c r="AN981" t="str">
        <f t="shared" si="293"/>
        <v/>
      </c>
    </row>
    <row r="982" spans="1:40">
      <c r="A982" s="41" t="s">
        <v>244</v>
      </c>
      <c r="B982" s="32">
        <v>2</v>
      </c>
      <c r="C982" s="60">
        <v>6</v>
      </c>
      <c r="D982" s="60">
        <v>6300</v>
      </c>
      <c r="E982" s="59">
        <f>(0.082+0)*$B$988*C982^-0.3</f>
        <v>16.766272546647741</v>
      </c>
      <c r="F982" s="60">
        <v>44</v>
      </c>
      <c r="G982" s="59">
        <f>(0.52*SQRT(C982)*50^0.9*$B$988^0.8)/1200</f>
        <v>3.8924689970513175</v>
      </c>
      <c r="H982" s="59">
        <f>B982*MIN((2.3*SQRT(C982*D982*E982))/1000+G982/4,E982*C982*F982/1000,E982*C982*F982/1000*(SQRT(2+4*D982/(C982*E982*F982^2))-1)+G982/4)</f>
        <v>5.6082652963059152</v>
      </c>
      <c r="I982" s="49" t="s">
        <v>239</v>
      </c>
      <c r="U982" s="2"/>
      <c r="V982" s="155"/>
      <c r="W982" s="2"/>
      <c r="X982" s="2"/>
      <c r="Y982" s="2"/>
      <c r="Z982" s="2"/>
      <c r="AA982" s="2"/>
      <c r="AB982" s="2"/>
      <c r="AE982" s="2"/>
      <c r="AF982" s="155"/>
      <c r="AG982" s="2"/>
      <c r="AH982" s="2"/>
      <c r="AI982" s="2"/>
      <c r="AJ982" s="2"/>
      <c r="AK982" s="2"/>
      <c r="AL982" s="2"/>
    </row>
    <row r="983" spans="1:40">
      <c r="A983" s="41" t="s">
        <v>246</v>
      </c>
      <c r="B983" s="32">
        <v>2</v>
      </c>
      <c r="C983" s="60">
        <v>10</v>
      </c>
      <c r="D983" s="60">
        <v>23900</v>
      </c>
      <c r="E983" s="59">
        <f>(0.082+0)*$B$988*C983^-0.3</f>
        <v>14.384073605102715</v>
      </c>
      <c r="F983" s="60">
        <v>45</v>
      </c>
      <c r="G983" s="59">
        <f>(0.52*SQRT(C983)*50^0.9*$B$988^0.8)/1200</f>
        <v>5.0251558670694791</v>
      </c>
      <c r="H983" s="59">
        <f t="shared" si="308"/>
        <v>9.3200189508055082</v>
      </c>
      <c r="I983" s="49" t="s">
        <v>241</v>
      </c>
      <c r="U983" s="2"/>
      <c r="V983" s="155"/>
      <c r="W983" s="2"/>
      <c r="X983" s="2"/>
      <c r="Y983" s="2"/>
      <c r="Z983" s="2"/>
      <c r="AA983" s="2"/>
      <c r="AB983" s="2"/>
      <c r="AE983" s="2"/>
      <c r="AF983" s="155"/>
      <c r="AG983" s="2"/>
      <c r="AH983" s="2"/>
      <c r="AI983" s="2"/>
      <c r="AJ983" s="2"/>
      <c r="AK983" s="2"/>
      <c r="AL983" s="2"/>
    </row>
    <row r="984" spans="1:40">
      <c r="A984" s="41" t="s">
        <v>248</v>
      </c>
      <c r="B984" s="32">
        <v>2</v>
      </c>
      <c r="C984" s="60">
        <v>10</v>
      </c>
      <c r="D984" s="60">
        <v>23900</v>
      </c>
      <c r="E984" s="59">
        <f>(0.082+0)*$B$988*C984^-0.3</f>
        <v>14.384073605102715</v>
      </c>
      <c r="F984" s="60">
        <v>54</v>
      </c>
      <c r="G984" s="59">
        <f>(0.52*SQRT(C984)*50^0.9*$B$988^0.8)/1000</f>
        <v>6.0301870404833755</v>
      </c>
      <c r="H984" s="59">
        <f t="shared" si="308"/>
        <v>10.667891747777407</v>
      </c>
      <c r="I984" s="49"/>
      <c r="U984" s="2"/>
      <c r="V984" s="155"/>
      <c r="W984" s="2"/>
      <c r="X984" s="2"/>
      <c r="Y984" s="2"/>
      <c r="Z984" s="2"/>
      <c r="AA984" s="2"/>
      <c r="AB984" s="2"/>
      <c r="AE984" s="2"/>
      <c r="AF984" s="155"/>
      <c r="AG984" s="2"/>
      <c r="AH984" s="2"/>
      <c r="AI984" s="2"/>
      <c r="AJ984" s="2"/>
      <c r="AK984" s="2"/>
      <c r="AL984" s="2"/>
    </row>
    <row r="985" spans="1:40">
      <c r="A985" s="41" t="s">
        <v>249</v>
      </c>
      <c r="B985" s="32">
        <v>2</v>
      </c>
      <c r="C985" s="60">
        <v>10</v>
      </c>
      <c r="D985" s="60">
        <v>23900</v>
      </c>
      <c r="E985" s="59">
        <f>(0.033+0)*$B$988*C985^-0.3</f>
        <v>5.7887125483949946</v>
      </c>
      <c r="F985" s="60">
        <v>54</v>
      </c>
      <c r="G985" s="59">
        <f>(0.52*SQRT(C985)*50^0.9*$B$988^0.8)/1200</f>
        <v>5.0251558670694791</v>
      </c>
      <c r="H985" s="59">
        <f t="shared" si="308"/>
        <v>6.251809552266594</v>
      </c>
      <c r="I985" s="49"/>
      <c r="U985" s="2"/>
      <c r="V985" s="155"/>
      <c r="W985" s="2"/>
      <c r="X985" s="2"/>
      <c r="Y985" s="2"/>
      <c r="Z985" s="2"/>
      <c r="AA985" s="2"/>
      <c r="AB985" s="2"/>
      <c r="AE985" s="2"/>
      <c r="AF985" s="155"/>
      <c r="AG985" s="2"/>
      <c r="AH985" s="2"/>
      <c r="AI985" s="2"/>
      <c r="AJ985" s="2"/>
      <c r="AK985" s="2"/>
      <c r="AL985" s="2"/>
    </row>
    <row r="986" spans="1:40">
      <c r="B986" s="108"/>
      <c r="C986" s="109"/>
      <c r="D986" s="109"/>
      <c r="E986" s="110"/>
      <c r="F986" s="109"/>
      <c r="G986" s="110"/>
      <c r="H986" s="110"/>
      <c r="I986" s="49"/>
      <c r="U986" s="2"/>
      <c r="V986" s="155"/>
      <c r="W986" s="2"/>
      <c r="X986" s="2"/>
      <c r="Y986" s="2"/>
      <c r="Z986" s="2"/>
      <c r="AA986" s="2"/>
      <c r="AB986" s="2"/>
      <c r="AE986" s="2"/>
      <c r="AF986" s="155"/>
      <c r="AG986" s="2"/>
      <c r="AH986" s="2"/>
      <c r="AI986" s="2"/>
      <c r="AJ986" s="2"/>
      <c r="AK986" s="2"/>
      <c r="AL986" s="2"/>
    </row>
    <row r="987" spans="1:40">
      <c r="A987" s="19" t="s">
        <v>35</v>
      </c>
      <c r="B987" s="20" t="s">
        <v>22</v>
      </c>
      <c r="U987" s="2"/>
      <c r="V987" s="2">
        <v>20</v>
      </c>
      <c r="W987" s="2">
        <v>25.3</v>
      </c>
      <c r="X987" s="2">
        <v>26.7</v>
      </c>
      <c r="Y987" s="2">
        <v>28.1</v>
      </c>
      <c r="Z987" s="155">
        <v>29</v>
      </c>
      <c r="AA987" s="2">
        <v>29.9</v>
      </c>
      <c r="AB987" s="2">
        <v>27.7</v>
      </c>
      <c r="AC987" t="str">
        <f t="shared" ref="AC987:AC992" si="310">IF(MAX(W987:AB987)/1.3&gt;U$988,"Verbinder","")</f>
        <v/>
      </c>
      <c r="AE987" s="2"/>
      <c r="AF987" s="2">
        <v>20</v>
      </c>
      <c r="AG987" s="2">
        <v>58.7</v>
      </c>
      <c r="AH987" s="2"/>
      <c r="AI987" s="2"/>
      <c r="AJ987" s="2"/>
      <c r="AK987" s="2">
        <v>69.2</v>
      </c>
      <c r="AL987" s="2"/>
      <c r="AM987" t="str">
        <f t="shared" ref="AM987:AM992" si="311">IF(MAX(AG987:AL987)/1.3&gt;AE$988,"Verbinder","")</f>
        <v>Verbinder</v>
      </c>
      <c r="AN987" t="str">
        <f t="shared" si="293"/>
        <v/>
      </c>
    </row>
    <row r="988" spans="1:40" ht="18">
      <c r="A988" s="21" t="s">
        <v>37</v>
      </c>
      <c r="B988">
        <f>VLOOKUP(B987,$V$7:$W$16,2,FALSE)</f>
        <v>350</v>
      </c>
      <c r="C988" t="s">
        <v>38</v>
      </c>
      <c r="U988" s="2">
        <v>34</v>
      </c>
      <c r="V988" s="2">
        <v>30</v>
      </c>
      <c r="W988" s="2">
        <v>22.8</v>
      </c>
      <c r="X988" s="2">
        <v>24.1</v>
      </c>
      <c r="Y988" s="2">
        <v>25.3</v>
      </c>
      <c r="Z988" s="2">
        <v>26.1</v>
      </c>
      <c r="AA988" s="2">
        <v>26.9</v>
      </c>
      <c r="AB988" s="2">
        <v>24.9</v>
      </c>
      <c r="AC988" t="str">
        <f t="shared" si="310"/>
        <v/>
      </c>
      <c r="AE988" s="2">
        <v>34</v>
      </c>
      <c r="AF988" s="2">
        <v>30</v>
      </c>
      <c r="AG988" s="2">
        <v>52.2</v>
      </c>
      <c r="AH988" s="2"/>
      <c r="AI988" s="2"/>
      <c r="AJ988" s="2"/>
      <c r="AK988" s="2">
        <v>61.4</v>
      </c>
      <c r="AL988" s="2"/>
      <c r="AM988" t="str">
        <f t="shared" si="311"/>
        <v>Verbinder</v>
      </c>
      <c r="AN988" t="str">
        <f t="shared" si="293"/>
        <v/>
      </c>
    </row>
    <row r="989" spans="1:40">
      <c r="A989" s="21"/>
      <c r="U989" s="155">
        <f>N936</f>
        <v>0</v>
      </c>
      <c r="V989" s="2">
        <v>40</v>
      </c>
      <c r="W989" s="2">
        <v>20.7</v>
      </c>
      <c r="X989" s="2">
        <v>21.8</v>
      </c>
      <c r="Y989" s="155">
        <v>23</v>
      </c>
      <c r="Z989" s="2">
        <v>23.7</v>
      </c>
      <c r="AA989" s="2">
        <v>24.4</v>
      </c>
      <c r="AB989" s="2">
        <v>22.6</v>
      </c>
      <c r="AC989" t="str">
        <f t="shared" si="310"/>
        <v/>
      </c>
      <c r="AE989" s="155">
        <f>N946</f>
        <v>0</v>
      </c>
      <c r="AF989" s="2">
        <v>40</v>
      </c>
      <c r="AG989" s="2">
        <v>46.9</v>
      </c>
      <c r="AH989" s="2"/>
      <c r="AI989" s="2"/>
      <c r="AJ989" s="2"/>
      <c r="AK989" s="2">
        <v>55</v>
      </c>
      <c r="AL989" s="2"/>
      <c r="AM989" t="str">
        <f t="shared" si="311"/>
        <v>Verbinder</v>
      </c>
      <c r="AN989" t="str">
        <f t="shared" si="293"/>
        <v/>
      </c>
    </row>
    <row r="990" spans="1:40" ht="15.75" thickBot="1">
      <c r="A990" s="21"/>
      <c r="B990" s="71"/>
      <c r="E990" t="s">
        <v>69</v>
      </c>
      <c r="U990" s="2"/>
      <c r="V990" s="2">
        <v>50</v>
      </c>
      <c r="W990" s="2">
        <v>18.899999999999999</v>
      </c>
      <c r="X990" s="2">
        <v>19.899999999999999</v>
      </c>
      <c r="Y990" s="155">
        <v>21</v>
      </c>
      <c r="Z990" s="2">
        <v>21.6</v>
      </c>
      <c r="AA990" s="2">
        <v>22.2</v>
      </c>
      <c r="AB990" s="2">
        <v>20.6</v>
      </c>
      <c r="AC990" t="str">
        <f t="shared" si="310"/>
        <v/>
      </c>
      <c r="AE990" s="2"/>
      <c r="AF990" s="2">
        <v>50</v>
      </c>
      <c r="AG990" s="2">
        <v>42.4</v>
      </c>
      <c r="AH990" s="2"/>
      <c r="AI990" s="2"/>
      <c r="AJ990" s="2"/>
      <c r="AK990" s="2">
        <v>49.7</v>
      </c>
      <c r="AL990" s="2"/>
      <c r="AM990" t="str">
        <f t="shared" si="311"/>
        <v>Verbinder</v>
      </c>
      <c r="AN990" t="str">
        <f t="shared" si="293"/>
        <v/>
      </c>
    </row>
    <row r="991" spans="1:40" ht="18">
      <c r="A991" s="3" t="s">
        <v>2</v>
      </c>
      <c r="B991" s="72" t="s">
        <v>117</v>
      </c>
      <c r="C991" s="72" t="s">
        <v>160</v>
      </c>
      <c r="D991" s="72" t="s">
        <v>254</v>
      </c>
      <c r="E991" s="73" t="s">
        <v>161</v>
      </c>
      <c r="F991" s="73" t="s">
        <v>255</v>
      </c>
      <c r="G991" s="717" t="s">
        <v>256</v>
      </c>
      <c r="H991" s="169" t="s">
        <v>90</v>
      </c>
      <c r="I991" s="22"/>
      <c r="J991" s="22"/>
      <c r="K991" s="22"/>
      <c r="L991" s="170"/>
      <c r="M991" s="171" t="s">
        <v>257</v>
      </c>
      <c r="N991" s="22"/>
      <c r="O991" s="22"/>
      <c r="P991" s="170"/>
      <c r="Q991" s="172" t="s">
        <v>225</v>
      </c>
      <c r="R991" s="173"/>
      <c r="S991" s="173"/>
      <c r="T991" s="174"/>
      <c r="U991" s="2"/>
      <c r="V991" s="2">
        <v>60</v>
      </c>
      <c r="W991" s="2">
        <v>17.399999999999999</v>
      </c>
      <c r="X991" s="2">
        <v>18.3</v>
      </c>
      <c r="Y991" s="2">
        <v>19.2</v>
      </c>
      <c r="Z991" s="2">
        <v>19.8</v>
      </c>
      <c r="AA991" s="2">
        <v>20.399999999999999</v>
      </c>
      <c r="AB991" s="2">
        <v>18.899999999999999</v>
      </c>
      <c r="AC991" t="str">
        <f t="shared" si="310"/>
        <v/>
      </c>
      <c r="AE991" s="2"/>
      <c r="AF991" s="2">
        <v>60</v>
      </c>
      <c r="AG991" s="2">
        <v>38.700000000000003</v>
      </c>
      <c r="AH991" s="2"/>
      <c r="AI991" s="2"/>
      <c r="AJ991" s="2"/>
      <c r="AK991" s="2">
        <v>45.3</v>
      </c>
      <c r="AL991" s="2"/>
      <c r="AM991" t="str">
        <f t="shared" si="311"/>
        <v>Verbinder</v>
      </c>
      <c r="AN991" t="str">
        <f t="shared" si="293"/>
        <v/>
      </c>
    </row>
    <row r="992" spans="1:40">
      <c r="A992" s="7"/>
      <c r="B992" s="75" t="s">
        <v>17</v>
      </c>
      <c r="C992" s="76" t="s">
        <v>17</v>
      </c>
      <c r="D992" s="76" t="s">
        <v>17</v>
      </c>
      <c r="E992" s="77" t="s">
        <v>17</v>
      </c>
      <c r="F992" s="77" t="s">
        <v>258</v>
      </c>
      <c r="G992" s="717"/>
      <c r="H992" s="25"/>
      <c r="I992" s="24">
        <v>0.6</v>
      </c>
      <c r="J992" s="24">
        <v>0.7</v>
      </c>
      <c r="K992" s="24">
        <v>0.8</v>
      </c>
      <c r="L992" s="24">
        <v>0.9</v>
      </c>
      <c r="M992" s="99">
        <v>0.6</v>
      </c>
      <c r="N992" s="24">
        <v>0.7</v>
      </c>
      <c r="O992" s="24">
        <v>0.8</v>
      </c>
      <c r="P992" s="26">
        <v>0.9</v>
      </c>
      <c r="Q992" s="175">
        <v>0.6</v>
      </c>
      <c r="R992" s="161">
        <v>0.7</v>
      </c>
      <c r="S992" s="161">
        <v>0.8</v>
      </c>
      <c r="T992" s="161">
        <v>0.9</v>
      </c>
      <c r="U992" s="2"/>
      <c r="V992" s="2">
        <v>70</v>
      </c>
      <c r="W992" s="155">
        <v>16</v>
      </c>
      <c r="X992" s="2">
        <v>16.899999999999999</v>
      </c>
      <c r="Y992" s="2">
        <v>17.8</v>
      </c>
      <c r="Z992" s="2">
        <v>18.3</v>
      </c>
      <c r="AA992" s="2">
        <v>18.8</v>
      </c>
      <c r="AB992" s="2">
        <v>17.5</v>
      </c>
      <c r="AC992" t="str">
        <f t="shared" si="310"/>
        <v/>
      </c>
      <c r="AE992" s="2"/>
      <c r="AF992" s="2">
        <v>70</v>
      </c>
      <c r="AG992" s="2">
        <v>35.5</v>
      </c>
      <c r="AH992" s="2"/>
      <c r="AI992" s="2"/>
      <c r="AJ992" s="2"/>
      <c r="AK992" s="2">
        <v>41.5</v>
      </c>
      <c r="AL992" s="2"/>
      <c r="AM992" t="str">
        <f t="shared" si="311"/>
        <v/>
      </c>
      <c r="AN992" t="str">
        <f t="shared" si="293"/>
        <v/>
      </c>
    </row>
    <row r="993" spans="1:40">
      <c r="A993" s="41" t="s">
        <v>238</v>
      </c>
      <c r="B993" s="15">
        <f t="shared" ref="B993:B1007" si="312">F958</f>
        <v>3.8824909803921575</v>
      </c>
      <c r="C993" s="15">
        <v>17</v>
      </c>
      <c r="D993" s="15">
        <f>H976</f>
        <v>5.3967515400578954</v>
      </c>
      <c r="E993" s="176">
        <f t="shared" ref="E993:E1007" si="313">MIN(B993,C993,D993)</f>
        <v>3.8824909803921575</v>
      </c>
      <c r="F993" s="177">
        <f t="shared" ref="F993:F1007" si="314">E993*0.9/1.3</f>
        <v>2.6878783710407244</v>
      </c>
      <c r="H993" s="25">
        <v>350</v>
      </c>
      <c r="I993" s="27">
        <v>1.7919189140271494</v>
      </c>
      <c r="J993" s="27">
        <v>2.0905720663650076</v>
      </c>
      <c r="K993" s="27">
        <v>2.3892252187028662</v>
      </c>
      <c r="L993" s="27">
        <v>2.6878783710407244</v>
      </c>
      <c r="M993" s="178">
        <v>2.0602017997097244</v>
      </c>
      <c r="N993" s="179">
        <v>2.4035687663280116</v>
      </c>
      <c r="O993" s="179">
        <v>2.7469357329462993</v>
      </c>
      <c r="P993" s="180">
        <v>3.0903026995645866</v>
      </c>
      <c r="Q993" s="181">
        <f>MIN(Q$992*$B993/1.3,$C993/1,Q$992*$D993/1.3)</f>
        <v>1.7919189140271494</v>
      </c>
      <c r="R993" s="81">
        <f>MIN(R$992*$B993/1.3,$C993/1,R$992*$D993/1.3)</f>
        <v>2.0905720663650076</v>
      </c>
      <c r="S993" s="81">
        <f>MIN(S$992*$B993/1.3,$C993/1,S$992*$D993/1.3)</f>
        <v>2.3892252187028662</v>
      </c>
      <c r="T993" s="81">
        <f>MIN(T$992*$B993/1.3,$C993/1,T$992*$D993/1.3)</f>
        <v>2.6878783710407244</v>
      </c>
    </row>
    <row r="994" spans="1:40">
      <c r="A994" s="41" t="s">
        <v>240</v>
      </c>
      <c r="B994" s="15">
        <f t="shared" si="312"/>
        <v>3.5655529411764704</v>
      </c>
      <c r="C994" s="15">
        <v>17</v>
      </c>
      <c r="D994" s="15">
        <f>H976</f>
        <v>5.3967515400578954</v>
      </c>
      <c r="E994" s="176">
        <f t="shared" si="313"/>
        <v>3.5655529411764704</v>
      </c>
      <c r="F994" s="177">
        <f t="shared" si="314"/>
        <v>2.4684597285067871</v>
      </c>
      <c r="G994" s="35">
        <f>F994/F993</f>
        <v>0.91836734693877531</v>
      </c>
      <c r="H994" s="25">
        <v>380</v>
      </c>
      <c r="I994" s="27">
        <v>1.9455119638009055</v>
      </c>
      <c r="J994" s="27">
        <v>2.2697639577677231</v>
      </c>
      <c r="K994" s="27">
        <v>2.5940159517345407</v>
      </c>
      <c r="L994" s="27">
        <v>2.9182679457013583</v>
      </c>
      <c r="M994" s="178">
        <v>2.2367905253991291</v>
      </c>
      <c r="N994" s="179">
        <v>2.6095889462989836</v>
      </c>
      <c r="O994" s="179">
        <v>2.982387367198839</v>
      </c>
      <c r="P994" s="180">
        <v>3.3551857880986939</v>
      </c>
      <c r="Q994" s="181">
        <f>MIN(Q$992*$B1000/1.3,$C1000/1,Q$992*$D1000/1.3)</f>
        <v>2.0602017997097244</v>
      </c>
      <c r="R994" s="81">
        <f>MIN(R$992*$B1000/1.3,$C1000/1,R$992*$D1000/1.3)</f>
        <v>2.4035687663280116</v>
      </c>
      <c r="S994" s="81">
        <f>MIN(S$992*$B1000/1.3,$C1000/1,S$992*$D1000/1.3)</f>
        <v>2.7469357329462993</v>
      </c>
      <c r="T994" s="81">
        <f>MIN(T$992*$B1000/1.3,$C1000/1,T$992*$D1000/1.3)</f>
        <v>3.0903026995645866</v>
      </c>
    </row>
    <row r="995" spans="1:40">
      <c r="A995" s="41" t="s">
        <v>745</v>
      </c>
      <c r="B995" s="15">
        <f t="shared" si="312"/>
        <v>3.1884075471698115</v>
      </c>
      <c r="C995" s="15">
        <v>17</v>
      </c>
      <c r="D995" s="15">
        <f>H977</f>
        <v>5.3967515400578954</v>
      </c>
      <c r="E995" s="176">
        <f t="shared" si="313"/>
        <v>3.1884075471698115</v>
      </c>
      <c r="F995" s="177">
        <f t="shared" si="314"/>
        <v>2.2073590711175619</v>
      </c>
      <c r="G995" s="35"/>
      <c r="H995" s="25"/>
      <c r="I995" s="27"/>
      <c r="J995" s="27"/>
      <c r="K995" s="27"/>
      <c r="L995" s="27"/>
      <c r="M995" s="178"/>
      <c r="N995" s="179"/>
      <c r="O995" s="179"/>
      <c r="P995" s="180"/>
      <c r="Q995" s="105"/>
      <c r="R995" s="105"/>
      <c r="S995" s="105"/>
      <c r="T995" s="105"/>
    </row>
    <row r="996" spans="1:40">
      <c r="A996" s="41" t="s">
        <v>743</v>
      </c>
      <c r="B996" s="15">
        <f t="shared" si="312"/>
        <v>7.3663333333333343</v>
      </c>
      <c r="C996" s="15">
        <v>17</v>
      </c>
      <c r="D996" s="15">
        <f>H978</f>
        <v>5.3967515400578954</v>
      </c>
      <c r="E996" s="176">
        <f t="shared" si="313"/>
        <v>5.3967515400578954</v>
      </c>
      <c r="F996" s="177">
        <f t="shared" si="314"/>
        <v>3.7362126046554662</v>
      </c>
      <c r="G996" s="35"/>
      <c r="H996" s="25"/>
      <c r="I996" s="27"/>
      <c r="J996" s="27"/>
      <c r="K996" s="27"/>
      <c r="L996" s="27"/>
      <c r="M996" s="178"/>
      <c r="N996" s="179"/>
      <c r="O996" s="179"/>
      <c r="P996" s="180"/>
      <c r="Q996" s="105"/>
      <c r="R996" s="105"/>
      <c r="S996" s="105"/>
      <c r="T996" s="105"/>
    </row>
    <row r="997" spans="1:40">
      <c r="A997" s="41" t="s">
        <v>753</v>
      </c>
      <c r="B997" s="15">
        <f t="shared" si="312"/>
        <v>2.8728700000000003</v>
      </c>
      <c r="C997" s="15">
        <v>17</v>
      </c>
      <c r="D997" s="15">
        <f t="shared" ref="D997:D1002" si="315">H978</f>
        <v>5.3967515400578954</v>
      </c>
      <c r="E997" s="176">
        <f t="shared" si="313"/>
        <v>2.8728700000000003</v>
      </c>
      <c r="F997" s="177">
        <f t="shared" si="314"/>
        <v>1.9889100000000002</v>
      </c>
      <c r="G997" s="35"/>
      <c r="H997" s="25"/>
      <c r="I997" s="27"/>
      <c r="J997" s="27"/>
      <c r="K997" s="27"/>
      <c r="L997" s="27"/>
      <c r="M997" s="178"/>
      <c r="N997" s="179"/>
      <c r="O997" s="179"/>
      <c r="P997" s="180"/>
      <c r="Q997" s="105"/>
      <c r="R997" s="105"/>
      <c r="S997" s="105"/>
      <c r="T997" s="105"/>
    </row>
    <row r="998" spans="1:40">
      <c r="A998" s="41" t="s">
        <v>242</v>
      </c>
      <c r="B998" s="15">
        <f t="shared" si="312"/>
        <v>5.9402112000000011</v>
      </c>
      <c r="C998" s="15">
        <v>17</v>
      </c>
      <c r="D998" s="15">
        <f t="shared" si="315"/>
        <v>3.5626284494242708</v>
      </c>
      <c r="E998" s="88">
        <f t="shared" si="313"/>
        <v>3.5626284494242708</v>
      </c>
      <c r="F998" s="177">
        <f t="shared" si="314"/>
        <v>2.466435080370649</v>
      </c>
      <c r="H998" s="25">
        <v>410</v>
      </c>
      <c r="I998" s="27">
        <v>2.0991050135746607</v>
      </c>
      <c r="J998" s="27">
        <v>2.4489558491704377</v>
      </c>
      <c r="K998" s="27">
        <v>2.7988066847662147</v>
      </c>
      <c r="L998" s="27">
        <v>3.1486575203619913</v>
      </c>
      <c r="M998" s="178">
        <v>2.4133792510885339</v>
      </c>
      <c r="N998" s="179">
        <v>2.8156091262699561</v>
      </c>
      <c r="O998" s="179">
        <v>3.2178390014513791</v>
      </c>
      <c r="P998" s="180">
        <v>3.6200688766328009</v>
      </c>
      <c r="U998" s="155">
        <f>U1012</f>
        <v>430</v>
      </c>
      <c r="V998" s="2" t="s">
        <v>259</v>
      </c>
      <c r="W998" s="2">
        <v>350</v>
      </c>
      <c r="X998" s="2">
        <v>380</v>
      </c>
      <c r="Y998" s="2">
        <v>410</v>
      </c>
      <c r="Z998" s="2">
        <v>430</v>
      </c>
      <c r="AA998" s="2">
        <v>450</v>
      </c>
      <c r="AB998" s="2">
        <v>400</v>
      </c>
      <c r="AC998" s="2"/>
      <c r="AE998" s="2"/>
      <c r="AF998" s="2" t="s">
        <v>260</v>
      </c>
      <c r="AG998" s="2">
        <v>350</v>
      </c>
      <c r="AH998" s="2">
        <v>380</v>
      </c>
      <c r="AI998" s="2">
        <v>410</v>
      </c>
      <c r="AJ998" s="2">
        <v>430</v>
      </c>
      <c r="AK998" s="2">
        <v>450</v>
      </c>
      <c r="AL998" s="2">
        <v>400</v>
      </c>
      <c r="AM998" s="2"/>
    </row>
    <row r="999" spans="1:40" ht="15.75" thickBot="1">
      <c r="A999" s="182" t="s">
        <v>243</v>
      </c>
      <c r="B999" s="183">
        <f t="shared" si="312"/>
        <v>5.9402112000000011</v>
      </c>
      <c r="C999" s="183">
        <v>17</v>
      </c>
      <c r="D999" s="183">
        <f t="shared" si="315"/>
        <v>5.7436956885134229</v>
      </c>
      <c r="E999" s="184">
        <f t="shared" si="313"/>
        <v>5.7436956885134229</v>
      </c>
      <c r="F999" s="185">
        <f t="shared" si="314"/>
        <v>3.9764047074323701</v>
      </c>
      <c r="H999" s="25">
        <v>430</v>
      </c>
      <c r="I999" s="27">
        <v>2.2015003800904984</v>
      </c>
      <c r="J999" s="27">
        <v>2.5684171101055813</v>
      </c>
      <c r="K999" s="27">
        <v>2.9353338401206646</v>
      </c>
      <c r="L999" s="27">
        <v>3.3022505701357474</v>
      </c>
      <c r="M999" s="178">
        <v>2.5311050682148037</v>
      </c>
      <c r="N999" s="179">
        <v>2.9529559129172713</v>
      </c>
      <c r="O999" s="179">
        <v>3.3748067576197389</v>
      </c>
      <c r="P999" s="180">
        <v>3.7966576023222061</v>
      </c>
      <c r="U999" s="2">
        <f>U1013</f>
        <v>100</v>
      </c>
      <c r="V999" s="155">
        <v>10</v>
      </c>
      <c r="W999" s="2"/>
      <c r="X999" s="2"/>
      <c r="Y999" s="2"/>
      <c r="Z999" s="2"/>
      <c r="AA999" s="2"/>
      <c r="AB999" s="2"/>
      <c r="AC999" t="str">
        <f t="shared" ref="AC999:AC1010" si="316">IF(MAX(W999:AB999)/1.3&gt;U$1001,"Verbinder","")</f>
        <v/>
      </c>
      <c r="AE999" s="2"/>
      <c r="AF999" s="155">
        <v>10</v>
      </c>
      <c r="AG999" s="2">
        <v>86.6</v>
      </c>
      <c r="AH999" s="2"/>
      <c r="AI999" s="2"/>
      <c r="AJ999" s="2"/>
      <c r="AK999" s="2">
        <v>101.9</v>
      </c>
      <c r="AL999" s="2"/>
      <c r="AM999" t="str">
        <f t="shared" ref="AM999:AM1010" si="317">IF(MAX(AG999:AL999)/1.3&gt;AE$1001,"Verbinder","")</f>
        <v>Verbinder</v>
      </c>
      <c r="AN999" t="str">
        <f t="shared" ref="AN999:AN1010" si="318">IF(OR(AG999&lt;W999,AK999&lt;AA999),"ACHTUNG","")</f>
        <v/>
      </c>
    </row>
    <row r="1000" spans="1:40">
      <c r="A1000" s="7" t="s">
        <v>244</v>
      </c>
      <c r="B1000" s="186">
        <f t="shared" si="312"/>
        <v>4.463770566037736</v>
      </c>
      <c r="C1000" s="186">
        <v>17</v>
      </c>
      <c r="D1000" s="186">
        <f t="shared" si="315"/>
        <v>10.165376161070458</v>
      </c>
      <c r="E1000" s="187">
        <f t="shared" si="313"/>
        <v>4.463770566037736</v>
      </c>
      <c r="F1000" s="188">
        <f t="shared" si="314"/>
        <v>3.0903026995645866</v>
      </c>
      <c r="H1000" s="25">
        <v>450</v>
      </c>
      <c r="I1000" s="27">
        <v>2.3038957466063352</v>
      </c>
      <c r="J1000" s="27">
        <v>2.6878783710407244</v>
      </c>
      <c r="K1000" s="27">
        <v>3.0718609954751135</v>
      </c>
      <c r="L1000" s="27">
        <v>3.4558436199095031</v>
      </c>
      <c r="M1000" s="178">
        <v>2.648830885341074</v>
      </c>
      <c r="N1000" s="179">
        <v>3.0903026995645861</v>
      </c>
      <c r="O1000" s="179">
        <v>3.5317745137880991</v>
      </c>
      <c r="P1000" s="180">
        <v>3.9732463280116108</v>
      </c>
      <c r="U1000" s="2"/>
      <c r="V1000" s="2">
        <v>20</v>
      </c>
      <c r="W1000" s="2"/>
      <c r="X1000" s="2"/>
      <c r="Y1000" s="2"/>
      <c r="Z1000" s="2"/>
      <c r="AA1000" s="2"/>
      <c r="AB1000" s="2"/>
      <c r="AC1000" t="str">
        <f t="shared" si="316"/>
        <v/>
      </c>
      <c r="AE1000" s="2"/>
      <c r="AF1000" s="2">
        <v>20</v>
      </c>
      <c r="AG1000" s="2">
        <v>74.900000000000006</v>
      </c>
      <c r="AH1000" s="2"/>
      <c r="AI1000" s="2"/>
      <c r="AJ1000" s="2"/>
      <c r="AK1000" s="2">
        <v>87.9</v>
      </c>
      <c r="AL1000" s="2"/>
      <c r="AM1000" t="str">
        <f t="shared" si="317"/>
        <v>Verbinder</v>
      </c>
      <c r="AN1000" t="str">
        <f t="shared" si="318"/>
        <v/>
      </c>
    </row>
    <row r="1001" spans="1:40">
      <c r="A1001" s="7" t="s">
        <v>244</v>
      </c>
      <c r="B1001" s="186">
        <f t="shared" si="312"/>
        <v>4.463770566037736</v>
      </c>
      <c r="C1001" s="186">
        <v>18</v>
      </c>
      <c r="D1001" s="186">
        <f t="shared" si="315"/>
        <v>5.6082652963059152</v>
      </c>
      <c r="E1001" s="189">
        <f t="shared" si="313"/>
        <v>4.463770566037736</v>
      </c>
      <c r="F1001" s="188">
        <f t="shared" si="314"/>
        <v>3.0903026995645866</v>
      </c>
      <c r="G1001" s="35">
        <f>F1002/F1000</f>
        <v>0.97826086956521718</v>
      </c>
      <c r="H1001" s="25">
        <v>400</v>
      </c>
      <c r="I1001" s="27">
        <v>2.0479073303167423</v>
      </c>
      <c r="J1001" s="27">
        <v>2.3892252187028657</v>
      </c>
      <c r="K1001" s="27">
        <v>2.7305431070889901</v>
      </c>
      <c r="L1001" s="27">
        <v>3.0718609954751135</v>
      </c>
      <c r="M1001" s="178">
        <v>2.354516342525399</v>
      </c>
      <c r="N1001" s="179">
        <v>2.7469357329462989</v>
      </c>
      <c r="O1001" s="179">
        <v>3.1393551233671988</v>
      </c>
      <c r="P1001" s="180">
        <v>3.5317745137880991</v>
      </c>
      <c r="U1001" s="2">
        <v>50</v>
      </c>
      <c r="V1001" s="2">
        <v>30</v>
      </c>
      <c r="W1001" s="2"/>
      <c r="X1001" s="2"/>
      <c r="Y1001" s="2"/>
      <c r="Z1001" s="2"/>
      <c r="AA1001" s="2"/>
      <c r="AB1001" s="2"/>
      <c r="AC1001" t="str">
        <f t="shared" si="316"/>
        <v/>
      </c>
      <c r="AE1001" s="2">
        <v>50</v>
      </c>
      <c r="AF1001" s="2">
        <v>30</v>
      </c>
      <c r="AG1001" s="2">
        <v>65.7</v>
      </c>
      <c r="AH1001" s="2"/>
      <c r="AI1001" s="2"/>
      <c r="AJ1001" s="2"/>
      <c r="AK1001" s="2">
        <v>76.900000000000006</v>
      </c>
      <c r="AL1001" s="2"/>
      <c r="AM1001" t="str">
        <f t="shared" si="317"/>
        <v>Verbinder</v>
      </c>
      <c r="AN1001" t="str">
        <f t="shared" si="318"/>
        <v/>
      </c>
    </row>
    <row r="1002" spans="1:40">
      <c r="A1002" s="7" t="s">
        <v>246</v>
      </c>
      <c r="B1002" s="186">
        <f t="shared" si="312"/>
        <v>4.3667320754716972</v>
      </c>
      <c r="C1002" s="186">
        <v>17</v>
      </c>
      <c r="D1002" s="186">
        <f t="shared" si="315"/>
        <v>9.3200189508055082</v>
      </c>
      <c r="E1002" s="189">
        <f t="shared" si="313"/>
        <v>4.3667320754716972</v>
      </c>
      <c r="F1002" s="188">
        <f t="shared" si="314"/>
        <v>3.0231222060957905</v>
      </c>
      <c r="G1002" s="35">
        <f>E1003/E1000</f>
        <v>0.92585403726708082</v>
      </c>
      <c r="H1002" s="23" t="s">
        <v>103</v>
      </c>
      <c r="I1002" s="25"/>
      <c r="J1002" s="25"/>
      <c r="K1002" s="25"/>
      <c r="L1002" s="48"/>
      <c r="M1002" s="23" t="s">
        <v>261</v>
      </c>
      <c r="N1002" s="25"/>
      <c r="O1002" s="25"/>
      <c r="P1002" s="48"/>
      <c r="U1002" s="155">
        <f>N937</f>
        <v>0</v>
      </c>
      <c r="V1002" s="2">
        <v>40</v>
      </c>
      <c r="W1002" s="2">
        <v>29.7</v>
      </c>
      <c r="X1002" s="2">
        <v>31.3</v>
      </c>
      <c r="Y1002" s="2">
        <v>32.799999999999997</v>
      </c>
      <c r="Z1002" s="2">
        <v>33.799999999999997</v>
      </c>
      <c r="AA1002" s="2">
        <v>34.799999999999997</v>
      </c>
      <c r="AB1002" s="2">
        <v>32.299999999999997</v>
      </c>
      <c r="AC1002" t="str">
        <f t="shared" si="316"/>
        <v/>
      </c>
      <c r="AE1002" s="155">
        <f>N948</f>
        <v>0</v>
      </c>
      <c r="AF1002" s="2">
        <v>40</v>
      </c>
      <c r="AG1002" s="2">
        <v>58.3</v>
      </c>
      <c r="AH1002" s="2"/>
      <c r="AI1002" s="2"/>
      <c r="AJ1002" s="2"/>
      <c r="AK1002" s="2">
        <v>68.2</v>
      </c>
      <c r="AL1002" s="2"/>
      <c r="AM1002" t="str">
        <f t="shared" si="317"/>
        <v>Verbinder</v>
      </c>
      <c r="AN1002" t="str">
        <f t="shared" si="318"/>
        <v/>
      </c>
    </row>
    <row r="1003" spans="1:40">
      <c r="A1003" s="7" t="s">
        <v>247</v>
      </c>
      <c r="B1003" s="186">
        <f t="shared" si="312"/>
        <v>4.1328000000000005</v>
      </c>
      <c r="C1003" s="186">
        <v>17</v>
      </c>
      <c r="D1003" s="186">
        <f>H981</f>
        <v>10.165376161070458</v>
      </c>
      <c r="E1003" s="189">
        <f t="shared" si="313"/>
        <v>4.1328000000000005</v>
      </c>
      <c r="F1003" s="188">
        <f t="shared" si="314"/>
        <v>2.8611692307692311</v>
      </c>
      <c r="H1003" s="23">
        <v>350</v>
      </c>
      <c r="I1003" s="27">
        <v>1.6442900535804326</v>
      </c>
      <c r="J1003" s="27">
        <v>1.918338395843838</v>
      </c>
      <c r="K1003" s="27">
        <v>2.1923867381072437</v>
      </c>
      <c r="L1003" s="27">
        <v>2.466435080370649</v>
      </c>
      <c r="M1003" s="178">
        <v>2.0602017997097244</v>
      </c>
      <c r="N1003" s="179">
        <v>2.4035687663280116</v>
      </c>
      <c r="O1003" s="179">
        <v>2.7469357329462993</v>
      </c>
      <c r="P1003" s="180">
        <v>3.0903026995645866</v>
      </c>
      <c r="U1003" s="2"/>
      <c r="V1003" s="2">
        <v>50</v>
      </c>
      <c r="W1003" s="2">
        <v>26.8</v>
      </c>
      <c r="X1003" s="2">
        <v>28.2</v>
      </c>
      <c r="Y1003" s="2">
        <v>29.5</v>
      </c>
      <c r="Z1003" s="2">
        <v>30.4</v>
      </c>
      <c r="AA1003" s="2">
        <v>31.3</v>
      </c>
      <c r="AB1003" s="2">
        <v>29.1</v>
      </c>
      <c r="AC1003" t="str">
        <f t="shared" si="316"/>
        <v/>
      </c>
      <c r="AE1003" s="2"/>
      <c r="AF1003" s="2">
        <v>50</v>
      </c>
      <c r="AG1003" s="2">
        <v>52.3</v>
      </c>
      <c r="AH1003" s="2"/>
      <c r="AI1003" s="2"/>
      <c r="AJ1003" s="2"/>
      <c r="AK1003" s="2">
        <v>61.1</v>
      </c>
      <c r="AL1003" s="2"/>
      <c r="AM1003" t="str">
        <f t="shared" si="317"/>
        <v/>
      </c>
      <c r="AN1003" t="str">
        <f t="shared" si="318"/>
        <v/>
      </c>
    </row>
    <row r="1004" spans="1:40">
      <c r="A1004" s="7" t="s">
        <v>744</v>
      </c>
      <c r="B1004" s="186">
        <f t="shared" si="312"/>
        <v>9.0965333333333334</v>
      </c>
      <c r="C1004" s="186">
        <v>17</v>
      </c>
      <c r="D1004" s="186">
        <f>H981</f>
        <v>10.165376161070458</v>
      </c>
      <c r="E1004" s="189">
        <f t="shared" si="313"/>
        <v>9.0965333333333334</v>
      </c>
      <c r="F1004" s="188">
        <f t="shared" si="314"/>
        <v>6.2976000000000001</v>
      </c>
      <c r="H1004" s="23"/>
      <c r="I1004" s="27"/>
      <c r="J1004" s="27"/>
      <c r="K1004" s="27"/>
      <c r="L1004" s="27"/>
      <c r="M1004" s="178"/>
      <c r="N1004" s="179"/>
      <c r="O1004" s="179"/>
      <c r="P1004" s="180"/>
      <c r="U1004" s="2"/>
      <c r="V1004" s="2"/>
      <c r="W1004" s="2"/>
      <c r="X1004" s="2"/>
      <c r="Y1004" s="2"/>
      <c r="Z1004" s="2"/>
      <c r="AA1004" s="2"/>
      <c r="AB1004" s="2"/>
      <c r="AE1004" s="2"/>
      <c r="AF1004" s="2"/>
      <c r="AG1004" s="2"/>
      <c r="AH1004" s="2"/>
      <c r="AI1004" s="2"/>
      <c r="AJ1004" s="2"/>
      <c r="AK1004" s="2"/>
      <c r="AL1004" s="2"/>
    </row>
    <row r="1005" spans="1:40">
      <c r="A1005" s="7" t="s">
        <v>755</v>
      </c>
      <c r="B1005" s="186">
        <f t="shared" si="312"/>
        <v>3.7434782608695647</v>
      </c>
      <c r="C1005" s="186">
        <v>17</v>
      </c>
      <c r="D1005" s="186">
        <f>H981</f>
        <v>10.165376161070458</v>
      </c>
      <c r="E1005" s="189">
        <f t="shared" si="313"/>
        <v>3.7434782608695647</v>
      </c>
      <c r="F1005" s="188">
        <f t="shared" si="314"/>
        <v>2.5916387959866216</v>
      </c>
      <c r="H1005" s="23"/>
      <c r="I1005" s="27"/>
      <c r="J1005" s="27"/>
      <c r="K1005" s="27"/>
      <c r="L1005" s="27"/>
      <c r="M1005" s="178"/>
      <c r="N1005" s="179"/>
      <c r="O1005" s="179"/>
      <c r="P1005" s="180"/>
      <c r="U1005" s="2"/>
      <c r="V1005" s="2"/>
      <c r="W1005" s="2"/>
      <c r="X1005" s="2"/>
      <c r="Y1005" s="2"/>
      <c r="Z1005" s="2"/>
      <c r="AA1005" s="2"/>
      <c r="AB1005" s="2"/>
      <c r="AE1005" s="2"/>
      <c r="AF1005" s="2"/>
      <c r="AG1005" s="2"/>
      <c r="AH1005" s="2"/>
      <c r="AI1005" s="2"/>
      <c r="AJ1005" s="2"/>
      <c r="AK1005" s="2"/>
      <c r="AL1005" s="2"/>
    </row>
    <row r="1006" spans="1:40">
      <c r="A1006" s="41" t="s">
        <v>248</v>
      </c>
      <c r="B1006" s="15">
        <f t="shared" si="312"/>
        <v>7.0973952000000011</v>
      </c>
      <c r="C1006" s="15">
        <v>17</v>
      </c>
      <c r="D1006" s="15">
        <f>H984</f>
        <v>10.667891747777407</v>
      </c>
      <c r="E1006" s="176">
        <f t="shared" si="313"/>
        <v>7.0973952000000011</v>
      </c>
      <c r="F1006" s="177">
        <f t="shared" si="314"/>
        <v>4.9135812923076925</v>
      </c>
      <c r="H1006" s="23">
        <v>380</v>
      </c>
      <c r="I1006" s="27">
        <v>1.7750161885589089</v>
      </c>
      <c r="J1006" s="27">
        <v>2.0708522199853934</v>
      </c>
      <c r="K1006" s="27">
        <v>2.3666882514118788</v>
      </c>
      <c r="L1006" s="27">
        <v>2.6625242828383633</v>
      </c>
      <c r="M1006" s="178">
        <v>2.2367905253991291</v>
      </c>
      <c r="N1006" s="179">
        <v>2.6095889462989836</v>
      </c>
      <c r="O1006" s="179">
        <v>2.982387367198839</v>
      </c>
      <c r="P1006" s="180">
        <v>3.3551857880986939</v>
      </c>
      <c r="U1006" s="2"/>
      <c r="V1006" s="2">
        <v>60</v>
      </c>
      <c r="W1006" s="2">
        <v>24.3</v>
      </c>
      <c r="X1006" s="2">
        <v>25.6</v>
      </c>
      <c r="Y1006" s="2">
        <v>26.8</v>
      </c>
      <c r="Z1006" s="2">
        <v>27.6</v>
      </c>
      <c r="AA1006" s="2">
        <v>28.4</v>
      </c>
      <c r="AB1006" s="2">
        <v>26.4</v>
      </c>
      <c r="AC1006" t="str">
        <f t="shared" si="316"/>
        <v/>
      </c>
      <c r="AE1006" s="2"/>
      <c r="AF1006" s="2">
        <v>60</v>
      </c>
      <c r="AG1006" s="2">
        <v>47.4</v>
      </c>
      <c r="AH1006" s="2"/>
      <c r="AI1006" s="2"/>
      <c r="AJ1006" s="2"/>
      <c r="AK1006" s="2">
        <v>55.3</v>
      </c>
      <c r="AL1006" s="2"/>
      <c r="AM1006" t="str">
        <f t="shared" si="317"/>
        <v/>
      </c>
      <c r="AN1006" t="str">
        <f t="shared" si="318"/>
        <v/>
      </c>
    </row>
    <row r="1007" spans="1:40">
      <c r="A1007" s="41" t="s">
        <v>249</v>
      </c>
      <c r="B1007" s="15">
        <f t="shared" si="312"/>
        <v>7.0973952000000011</v>
      </c>
      <c r="C1007" s="15">
        <v>17</v>
      </c>
      <c r="D1007" s="15">
        <f>H985</f>
        <v>6.251809552266594</v>
      </c>
      <c r="E1007" s="176">
        <f t="shared" si="313"/>
        <v>6.251809552266594</v>
      </c>
      <c r="F1007" s="177">
        <f t="shared" si="314"/>
        <v>4.3281758438768732</v>
      </c>
      <c r="H1007" s="23">
        <v>410</v>
      </c>
      <c r="I1007" s="27">
        <v>1.8874296643708826</v>
      </c>
      <c r="J1007" s="27">
        <v>2.2020012750993629</v>
      </c>
      <c r="K1007" s="27">
        <v>2.5165728858278436</v>
      </c>
      <c r="L1007" s="27">
        <v>2.8311444965563237</v>
      </c>
      <c r="M1007" s="178">
        <v>2.4133792510885339</v>
      </c>
      <c r="N1007" s="179">
        <v>2.8156091262699561</v>
      </c>
      <c r="O1007" s="179">
        <v>3.2178390014513791</v>
      </c>
      <c r="P1007" s="180">
        <v>3.6200688766328009</v>
      </c>
      <c r="U1007" s="2"/>
      <c r="V1007" s="2">
        <v>70</v>
      </c>
      <c r="W1007" s="2">
        <v>22.2</v>
      </c>
      <c r="X1007" s="2">
        <v>23.4</v>
      </c>
      <c r="Y1007" s="2">
        <v>24.5</v>
      </c>
      <c r="Z1007" s="2">
        <v>25.2</v>
      </c>
      <c r="AA1007" s="2">
        <v>25.9</v>
      </c>
      <c r="AB1007" s="2">
        <v>24.1</v>
      </c>
      <c r="AC1007" t="str">
        <f t="shared" si="316"/>
        <v/>
      </c>
      <c r="AE1007" s="2"/>
      <c r="AF1007" s="2">
        <v>70</v>
      </c>
      <c r="AG1007" s="2">
        <v>43.1</v>
      </c>
      <c r="AH1007" s="2"/>
      <c r="AI1007" s="2"/>
      <c r="AJ1007" s="2"/>
      <c r="AK1007" s="2">
        <v>50.5</v>
      </c>
      <c r="AL1007" s="2"/>
      <c r="AM1007" t="str">
        <f t="shared" si="317"/>
        <v/>
      </c>
      <c r="AN1007" t="str">
        <f t="shared" si="318"/>
        <v/>
      </c>
    </row>
    <row r="1008" spans="1:40">
      <c r="A1008" s="41" t="s">
        <v>262</v>
      </c>
      <c r="B1008" s="151">
        <f>F965</f>
        <v>4.463770566037736</v>
      </c>
      <c r="C1008" s="15">
        <v>8</v>
      </c>
      <c r="D1008" s="15">
        <f>H981</f>
        <v>10.165376161070458</v>
      </c>
      <c r="E1008" s="41"/>
      <c r="F1008" s="41"/>
      <c r="H1008" s="23">
        <v>430</v>
      </c>
      <c r="I1008" s="27">
        <v>1.9619026096722081</v>
      </c>
      <c r="J1008" s="27">
        <v>2.2888863779509094</v>
      </c>
      <c r="K1008" s="27">
        <v>2.6158701462296108</v>
      </c>
      <c r="L1008" s="27">
        <v>2.9428539145083121</v>
      </c>
      <c r="M1008" s="178">
        <v>2.5311050682148037</v>
      </c>
      <c r="N1008" s="179">
        <v>2.9529559129172713</v>
      </c>
      <c r="O1008" s="179">
        <v>3.3748067576197389</v>
      </c>
      <c r="P1008" s="180">
        <v>3.7966576023222061</v>
      </c>
      <c r="V1008" s="2">
        <v>80</v>
      </c>
      <c r="W1008" s="2">
        <v>20.3</v>
      </c>
      <c r="X1008" s="2">
        <v>21.5</v>
      </c>
      <c r="Y1008" s="2">
        <v>22.5</v>
      </c>
      <c r="Z1008" s="2">
        <v>23.2</v>
      </c>
      <c r="AA1008" s="2">
        <v>23.9</v>
      </c>
      <c r="AB1008" s="2">
        <v>22.2</v>
      </c>
      <c r="AC1008" t="str">
        <f t="shared" si="316"/>
        <v/>
      </c>
      <c r="AF1008" s="2">
        <v>80</v>
      </c>
      <c r="AG1008" s="2">
        <v>39.4</v>
      </c>
      <c r="AK1008" s="2">
        <v>46.4</v>
      </c>
      <c r="AM1008" t="str">
        <f t="shared" si="317"/>
        <v/>
      </c>
      <c r="AN1008" t="str">
        <f t="shared" si="318"/>
        <v/>
      </c>
    </row>
    <row r="1009" spans="8:40">
      <c r="H1009" s="23">
        <v>450</v>
      </c>
      <c r="I1009" s="27">
        <v>2.0360266190490766</v>
      </c>
      <c r="J1009" s="27">
        <v>2.3753643888905889</v>
      </c>
      <c r="K1009" s="27">
        <v>2.7147021587321021</v>
      </c>
      <c r="L1009" s="27">
        <v>3.0540399285736148</v>
      </c>
      <c r="M1009" s="178">
        <v>2.648830885341074</v>
      </c>
      <c r="N1009" s="179">
        <v>3.0903026995645861</v>
      </c>
      <c r="O1009" s="179">
        <v>3.5317745137880991</v>
      </c>
      <c r="P1009" s="180">
        <v>3.9732463280116108</v>
      </c>
      <c r="V1009" s="2">
        <v>90</v>
      </c>
      <c r="W1009" s="2">
        <v>18.8</v>
      </c>
      <c r="X1009" s="2">
        <v>19.8</v>
      </c>
      <c r="Y1009" s="2">
        <v>20.9</v>
      </c>
      <c r="Z1009" s="2">
        <v>21.5</v>
      </c>
      <c r="AA1009" s="2">
        <v>22.1</v>
      </c>
      <c r="AB1009" s="2">
        <v>20.5</v>
      </c>
      <c r="AC1009" t="str">
        <f t="shared" si="316"/>
        <v/>
      </c>
      <c r="AF1009" s="2">
        <v>90</v>
      </c>
      <c r="AG1009" s="2">
        <v>36.4</v>
      </c>
      <c r="AK1009" s="2">
        <v>42.9</v>
      </c>
      <c r="AM1009" t="str">
        <f t="shared" si="317"/>
        <v/>
      </c>
      <c r="AN1009" t="str">
        <f t="shared" si="318"/>
        <v/>
      </c>
    </row>
    <row r="1010" spans="8:40">
      <c r="H1010" s="23">
        <v>400</v>
      </c>
      <c r="I1010" s="27">
        <v>1.8500554390179289</v>
      </c>
      <c r="J1010" s="27">
        <v>2.1583980121875839</v>
      </c>
      <c r="K1010" s="27">
        <v>2.4667405853572393</v>
      </c>
      <c r="L1010" s="27">
        <v>2.7750831585268938</v>
      </c>
      <c r="M1010" s="178">
        <v>2.354516342525399</v>
      </c>
      <c r="N1010" s="179">
        <v>2.7469357329462989</v>
      </c>
      <c r="O1010" s="179">
        <v>3.1393551233671988</v>
      </c>
      <c r="P1010" s="180">
        <v>3.5317745137880991</v>
      </c>
      <c r="V1010" s="2">
        <v>100</v>
      </c>
      <c r="W1010" s="2">
        <v>17.399999999999999</v>
      </c>
      <c r="X1010" s="2">
        <v>18.399999999999999</v>
      </c>
      <c r="Y1010" s="2">
        <v>19.399999999999999</v>
      </c>
      <c r="Z1010" s="155">
        <v>20</v>
      </c>
      <c r="AA1010" s="2">
        <v>20.6</v>
      </c>
      <c r="AB1010" s="155">
        <v>19</v>
      </c>
      <c r="AC1010" t="str">
        <f t="shared" si="316"/>
        <v/>
      </c>
      <c r="AF1010" s="2">
        <v>100</v>
      </c>
      <c r="AG1010" s="2">
        <v>33.700000000000003</v>
      </c>
      <c r="AK1010" s="2">
        <v>39.9</v>
      </c>
      <c r="AM1010" t="str">
        <f t="shared" si="317"/>
        <v/>
      </c>
      <c r="AN1010" t="str">
        <f t="shared" si="318"/>
        <v/>
      </c>
    </row>
    <row r="1011" spans="8:40">
      <c r="H1011" s="23" t="s">
        <v>113</v>
      </c>
      <c r="I1011" s="25"/>
      <c r="J1011" s="25"/>
      <c r="K1011" s="25"/>
      <c r="L1011" s="48"/>
      <c r="M1011" s="23" t="s">
        <v>263</v>
      </c>
      <c r="N1011" s="25"/>
      <c r="O1011" s="25"/>
      <c r="P1011" s="48"/>
    </row>
    <row r="1012" spans="8:40">
      <c r="H1012" s="23">
        <v>350</v>
      </c>
      <c r="I1012" s="27">
        <v>2.6509364716215797</v>
      </c>
      <c r="J1012" s="27">
        <v>3.0927592168918432</v>
      </c>
      <c r="K1012" s="27">
        <v>3.5345819621621062</v>
      </c>
      <c r="L1012" s="27">
        <v>3.9764047074323701</v>
      </c>
      <c r="M1012" s="178">
        <v>3.2757208615384621</v>
      </c>
      <c r="N1012" s="179">
        <v>3.8216743384615386</v>
      </c>
      <c r="O1012" s="179">
        <v>4.3676278153846164</v>
      </c>
      <c r="P1012" s="180">
        <v>4.9135812923076925</v>
      </c>
      <c r="U1012" s="155">
        <f>U1024</f>
        <v>430</v>
      </c>
      <c r="V1012" s="2" t="s">
        <v>264</v>
      </c>
      <c r="W1012" s="2">
        <v>350</v>
      </c>
      <c r="X1012" s="2">
        <v>380</v>
      </c>
      <c r="Y1012" s="2">
        <v>410</v>
      </c>
      <c r="Z1012" s="2">
        <v>430</v>
      </c>
      <c r="AA1012" s="2">
        <v>450</v>
      </c>
      <c r="AB1012" s="2">
        <v>400</v>
      </c>
      <c r="AC1012" s="2"/>
      <c r="AE1012" s="2"/>
      <c r="AF1012" s="2" t="s">
        <v>265</v>
      </c>
      <c r="AG1012" s="2">
        <v>350</v>
      </c>
      <c r="AH1012" s="2">
        <v>380</v>
      </c>
      <c r="AI1012" s="2">
        <v>410</v>
      </c>
      <c r="AJ1012" s="2">
        <v>430</v>
      </c>
      <c r="AK1012" s="2">
        <v>450</v>
      </c>
      <c r="AL1012" s="2">
        <v>400</v>
      </c>
      <c r="AM1012" s="2"/>
    </row>
    <row r="1013" spans="8:40">
      <c r="H1013" s="23">
        <v>380</v>
      </c>
      <c r="I1013" s="27">
        <v>2.7872182718405405</v>
      </c>
      <c r="J1013" s="27">
        <v>3.2517546504806307</v>
      </c>
      <c r="K1013" s="27">
        <v>3.716291029120721</v>
      </c>
      <c r="L1013" s="27">
        <v>4.1808274077608116</v>
      </c>
      <c r="M1013" s="178">
        <v>3.5564969353846152</v>
      </c>
      <c r="N1013" s="179">
        <v>4.1492464246153844</v>
      </c>
      <c r="O1013" s="179">
        <v>4.7419959138461545</v>
      </c>
      <c r="P1013" s="180">
        <v>5.3347454030769228</v>
      </c>
      <c r="U1013" s="2">
        <f>U1025</f>
        <v>100</v>
      </c>
      <c r="V1013" s="155">
        <v>10</v>
      </c>
      <c r="W1013" s="2"/>
      <c r="X1013" s="2"/>
      <c r="Y1013" s="2"/>
      <c r="Z1013" s="2"/>
      <c r="AA1013" s="2"/>
      <c r="AB1013" s="2"/>
      <c r="AC1013" t="str">
        <f t="shared" ref="AC1013:AC1022" si="319">IF(MAX(W1013:AB1013)/1.3&gt;U$1015,"Verbinder","")</f>
        <v/>
      </c>
      <c r="AE1013" s="2"/>
      <c r="AF1013" s="155">
        <v>10</v>
      </c>
      <c r="AG1013" s="2">
        <v>103.7</v>
      </c>
      <c r="AH1013" s="2"/>
      <c r="AI1013" s="2"/>
      <c r="AJ1013" s="2"/>
      <c r="AK1013" s="2">
        <v>122</v>
      </c>
      <c r="AL1013" s="2"/>
      <c r="AM1013" t="str">
        <f t="shared" ref="AM1013:AM1022" si="320">IF(MAX(AG1013:AL1013)/1.3&gt;AE$1015,"Verbinder","")</f>
        <v>Verbinder</v>
      </c>
      <c r="AN1013" t="str">
        <f t="shared" ref="AN1013:AN1022" si="321">IF(OR(AG1013&lt;W1013,AK1013&lt;AA1013),"ACHTUNG","")</f>
        <v/>
      </c>
    </row>
    <row r="1014" spans="8:40">
      <c r="H1014" s="23">
        <v>410</v>
      </c>
      <c r="I1014" s="27">
        <v>2.9197259223199348</v>
      </c>
      <c r="J1014" s="27">
        <v>3.4063469093732572</v>
      </c>
      <c r="K1014" s="27">
        <v>3.8929678964265797</v>
      </c>
      <c r="L1014" s="27">
        <v>4.3795888834799026</v>
      </c>
      <c r="M1014" s="178">
        <v>3.8372730092307696</v>
      </c>
      <c r="N1014" s="179">
        <v>4.4768185107692311</v>
      </c>
      <c r="O1014" s="179">
        <v>5.1163640123076934</v>
      </c>
      <c r="P1014" s="180">
        <v>5.7559095138461549</v>
      </c>
      <c r="U1014" s="2"/>
      <c r="V1014" s="2">
        <v>20</v>
      </c>
      <c r="W1014" s="2"/>
      <c r="X1014" s="2"/>
      <c r="Y1014" s="2"/>
      <c r="Z1014" s="2"/>
      <c r="AA1014" s="2"/>
      <c r="AB1014" s="2"/>
      <c r="AC1014" t="str">
        <f t="shared" si="319"/>
        <v/>
      </c>
      <c r="AE1014" s="2"/>
      <c r="AF1014" s="2">
        <v>20</v>
      </c>
      <c r="AG1014" s="2">
        <v>90.5</v>
      </c>
      <c r="AH1014" s="2"/>
      <c r="AI1014" s="2"/>
      <c r="AJ1014" s="2"/>
      <c r="AK1014" s="2">
        <v>106.2</v>
      </c>
      <c r="AL1014" s="2"/>
      <c r="AM1014" t="str">
        <f t="shared" si="320"/>
        <v>Verbinder</v>
      </c>
      <c r="AN1014" t="str">
        <f t="shared" si="321"/>
        <v/>
      </c>
    </row>
    <row r="1015" spans="8:40">
      <c r="H1015" s="23">
        <v>430</v>
      </c>
      <c r="I1015" s="27">
        <v>3.0061611618716877</v>
      </c>
      <c r="J1015" s="27">
        <v>3.5071880221836356</v>
      </c>
      <c r="K1015" s="27">
        <v>4.0082148824955839</v>
      </c>
      <c r="L1015" s="27">
        <v>4.5092417428075313</v>
      </c>
      <c r="M1015" s="178">
        <v>4.0244570584615387</v>
      </c>
      <c r="N1015" s="179">
        <v>4.6951999015384613</v>
      </c>
      <c r="O1015" s="179">
        <v>5.3659427446153849</v>
      </c>
      <c r="P1015" s="180">
        <v>6.0366855876923076</v>
      </c>
      <c r="U1015" s="2">
        <v>50</v>
      </c>
      <c r="V1015" s="2">
        <v>30</v>
      </c>
      <c r="W1015" s="2"/>
      <c r="X1015" s="2"/>
      <c r="Y1015" s="2"/>
      <c r="Z1015" s="2"/>
      <c r="AA1015" s="2"/>
      <c r="AB1015" s="2"/>
      <c r="AC1015" t="str">
        <f t="shared" si="319"/>
        <v/>
      </c>
      <c r="AE1015" s="2">
        <v>50</v>
      </c>
      <c r="AF1015" s="2">
        <v>30</v>
      </c>
      <c r="AG1015" s="2">
        <v>79.900000000000006</v>
      </c>
      <c r="AH1015" s="2"/>
      <c r="AI1015" s="2"/>
      <c r="AJ1015" s="2"/>
      <c r="AK1015" s="2">
        <v>93.6</v>
      </c>
      <c r="AL1015" s="2"/>
      <c r="AM1015" t="str">
        <f t="shared" si="320"/>
        <v>Verbinder</v>
      </c>
      <c r="AN1015" t="str">
        <f t="shared" si="321"/>
        <v/>
      </c>
    </row>
    <row r="1016" spans="8:40">
      <c r="H1016" s="23">
        <v>450</v>
      </c>
      <c r="I1016" s="27">
        <v>3.0911902468548127</v>
      </c>
      <c r="J1016" s="27">
        <v>3.6063886213306149</v>
      </c>
      <c r="K1016" s="27">
        <v>4.1215869958064166</v>
      </c>
      <c r="L1016" s="27">
        <v>4.6367853702822188</v>
      </c>
      <c r="M1016" s="178">
        <v>4.2116411076923068</v>
      </c>
      <c r="N1016" s="179">
        <v>4.9135812923076925</v>
      </c>
      <c r="O1016" s="179">
        <v>5.6155214769230772</v>
      </c>
      <c r="P1016" s="180">
        <v>6.317461661538462</v>
      </c>
      <c r="U1016" s="155">
        <f>N938</f>
        <v>0</v>
      </c>
      <c r="V1016" s="2">
        <v>40</v>
      </c>
      <c r="W1016" s="2">
        <v>31.7</v>
      </c>
      <c r="X1016" s="2">
        <v>33.4</v>
      </c>
      <c r="Y1016" s="155">
        <v>35</v>
      </c>
      <c r="Z1016" s="2">
        <v>36.1</v>
      </c>
      <c r="AA1016" s="2">
        <v>37.1</v>
      </c>
      <c r="AB1016" s="2">
        <v>34.5</v>
      </c>
      <c r="AC1016" t="str">
        <f t="shared" si="319"/>
        <v/>
      </c>
      <c r="AE1016" s="155">
        <f>N950</f>
        <v>0</v>
      </c>
      <c r="AF1016" s="2">
        <v>40</v>
      </c>
      <c r="AG1016" s="2">
        <v>71.3</v>
      </c>
      <c r="AH1016" s="2"/>
      <c r="AI1016" s="2"/>
      <c r="AJ1016" s="2"/>
      <c r="AK1016" s="2">
        <v>83.5</v>
      </c>
      <c r="AL1016" s="2"/>
      <c r="AM1016" t="str">
        <f t="shared" si="320"/>
        <v>Verbinder</v>
      </c>
      <c r="AN1016" t="str">
        <f t="shared" si="321"/>
        <v/>
      </c>
    </row>
    <row r="1017" spans="8:40">
      <c r="H1017" s="23">
        <v>400</v>
      </c>
      <c r="I1017" s="27">
        <v>2.8759507506593263</v>
      </c>
      <c r="J1017" s="27">
        <v>3.3552758757692138</v>
      </c>
      <c r="K1017" s="27">
        <v>3.8346010008791018</v>
      </c>
      <c r="L1017" s="27">
        <v>4.3139261259889894</v>
      </c>
      <c r="M1017" s="178">
        <v>3.7436809846153851</v>
      </c>
      <c r="N1017" s="179">
        <v>4.3676278153846155</v>
      </c>
      <c r="O1017" s="179">
        <v>4.9915746461538477</v>
      </c>
      <c r="P1017" s="180">
        <v>5.6155214769230772</v>
      </c>
      <c r="U1017" s="2"/>
      <c r="V1017" s="2">
        <v>50</v>
      </c>
      <c r="W1017" s="2">
        <v>28.8</v>
      </c>
      <c r="X1017" s="2">
        <v>30.3</v>
      </c>
      <c r="Y1017" s="2">
        <v>31.8</v>
      </c>
      <c r="Z1017" s="2">
        <v>32.799999999999997</v>
      </c>
      <c r="AA1017" s="2">
        <v>33.700000000000003</v>
      </c>
      <c r="AB1017" s="2">
        <v>31.3</v>
      </c>
      <c r="AC1017" t="str">
        <f t="shared" si="319"/>
        <v/>
      </c>
      <c r="AE1017" s="2"/>
      <c r="AF1017" s="2">
        <v>50</v>
      </c>
      <c r="AG1017" s="2">
        <v>64.3</v>
      </c>
      <c r="AH1017" s="2"/>
      <c r="AI1017" s="2"/>
      <c r="AJ1017" s="2"/>
      <c r="AK1017" s="2">
        <v>75.2</v>
      </c>
      <c r="AL1017" s="2"/>
      <c r="AM1017" t="str">
        <f t="shared" si="320"/>
        <v>Verbinder</v>
      </c>
      <c r="AN1017" t="str">
        <f t="shared" si="321"/>
        <v/>
      </c>
    </row>
    <row r="1018" spans="8:40">
      <c r="H1018" s="23" t="s">
        <v>120</v>
      </c>
      <c r="I1018" s="25"/>
      <c r="J1018" s="25"/>
      <c r="K1018" s="25"/>
      <c r="L1018" s="48"/>
      <c r="M1018" s="23" t="s">
        <v>266</v>
      </c>
      <c r="N1018" s="25"/>
      <c r="O1018" s="25"/>
      <c r="P1018" s="48"/>
      <c r="U1018" s="2"/>
      <c r="V1018" s="2">
        <v>60</v>
      </c>
      <c r="W1018" s="2">
        <v>26.4</v>
      </c>
      <c r="X1018" s="2">
        <v>27.8</v>
      </c>
      <c r="Y1018" s="2">
        <v>29.1</v>
      </c>
      <c r="Z1018" s="155">
        <v>30</v>
      </c>
      <c r="AA1018" s="2">
        <v>30.9</v>
      </c>
      <c r="AB1018" s="2">
        <v>28.7</v>
      </c>
      <c r="AC1018" t="str">
        <f t="shared" si="319"/>
        <v/>
      </c>
      <c r="AE1018" s="2"/>
      <c r="AF1018" s="2">
        <v>60</v>
      </c>
      <c r="AG1018" s="2">
        <v>58.5</v>
      </c>
      <c r="AH1018" s="2"/>
      <c r="AI1018" s="2"/>
      <c r="AJ1018" s="2"/>
      <c r="AK1018" s="2">
        <v>68.3</v>
      </c>
      <c r="AL1018" s="2"/>
      <c r="AM1018" t="str">
        <f t="shared" si="320"/>
        <v>Verbinder</v>
      </c>
      <c r="AN1018" t="str">
        <f t="shared" si="321"/>
        <v/>
      </c>
    </row>
    <row r="1019" spans="8:40">
      <c r="H1019" s="23">
        <v>350</v>
      </c>
      <c r="I1019" s="27">
        <v>1.6442900535804326</v>
      </c>
      <c r="J1019" s="27">
        <v>1.918338395843838</v>
      </c>
      <c r="K1019" s="27">
        <v>2.1923867381072437</v>
      </c>
      <c r="L1019" s="27">
        <v>2.466435080370649</v>
      </c>
      <c r="M1019" s="178">
        <v>2.8854505625845817</v>
      </c>
      <c r="N1019" s="179">
        <v>3.3663589896820119</v>
      </c>
      <c r="O1019" s="179">
        <v>3.8472674167794425</v>
      </c>
      <c r="P1019" s="180">
        <v>4.3281758438768732</v>
      </c>
      <c r="U1019" s="2"/>
      <c r="V1019" s="2">
        <v>70</v>
      </c>
      <c r="W1019" s="2">
        <v>24.3</v>
      </c>
      <c r="X1019" s="2">
        <v>25.6</v>
      </c>
      <c r="Y1019" s="2">
        <v>26.8</v>
      </c>
      <c r="Z1019" s="2">
        <v>27.6</v>
      </c>
      <c r="AA1019" s="2">
        <v>28.4</v>
      </c>
      <c r="AB1019" s="2">
        <v>26.4</v>
      </c>
      <c r="AC1019" t="str">
        <f t="shared" si="319"/>
        <v/>
      </c>
      <c r="AE1019" s="2"/>
      <c r="AF1019" s="2">
        <v>70</v>
      </c>
      <c r="AG1019" s="2">
        <v>53.5</v>
      </c>
      <c r="AH1019" s="2"/>
      <c r="AI1019" s="2"/>
      <c r="AJ1019" s="2"/>
      <c r="AK1019" s="2">
        <v>62.6</v>
      </c>
      <c r="AL1019" s="2"/>
      <c r="AM1019" t="str">
        <f t="shared" si="320"/>
        <v/>
      </c>
      <c r="AN1019" t="str">
        <f t="shared" si="321"/>
        <v/>
      </c>
    </row>
    <row r="1020" spans="8:40">
      <c r="H1020" s="23">
        <v>380</v>
      </c>
      <c r="I1020" s="27">
        <v>1.7750161885589089</v>
      </c>
      <c r="J1020" s="27">
        <v>2.0708522199853934</v>
      </c>
      <c r="K1020" s="27">
        <v>2.3666882514118788</v>
      </c>
      <c r="L1020" s="27">
        <v>2.6625242828383633</v>
      </c>
      <c r="M1020" s="178">
        <v>3.0804824008755833</v>
      </c>
      <c r="N1020" s="179">
        <v>3.5938961343548472</v>
      </c>
      <c r="O1020" s="179">
        <v>4.107309867834112</v>
      </c>
      <c r="P1020" s="180">
        <v>4.6207236013133759</v>
      </c>
      <c r="V1020" s="2">
        <v>80</v>
      </c>
      <c r="W1020" s="190">
        <v>22.5</v>
      </c>
      <c r="X1020" s="190">
        <v>23.7</v>
      </c>
      <c r="Y1020" s="190">
        <v>24.9</v>
      </c>
      <c r="Z1020" s="190">
        <v>25.6</v>
      </c>
      <c r="AA1020" s="190">
        <v>26.3</v>
      </c>
      <c r="AB1020" s="190">
        <v>24.5</v>
      </c>
      <c r="AC1020" t="str">
        <f t="shared" si="319"/>
        <v/>
      </c>
      <c r="AF1020" s="2">
        <v>80</v>
      </c>
      <c r="AG1020" s="2">
        <v>49.1</v>
      </c>
      <c r="AK1020" s="2">
        <v>57.7</v>
      </c>
      <c r="AM1020" t="str">
        <f t="shared" si="320"/>
        <v/>
      </c>
      <c r="AN1020" t="str">
        <f t="shared" si="321"/>
        <v/>
      </c>
    </row>
    <row r="1021" spans="8:40">
      <c r="H1021" s="23">
        <v>410</v>
      </c>
      <c r="I1021" s="27">
        <v>1.8874296643708826</v>
      </c>
      <c r="J1021" s="27">
        <v>2.2020012750993629</v>
      </c>
      <c r="K1021" s="27">
        <v>2.5165728858278436</v>
      </c>
      <c r="L1021" s="27">
        <v>2.8311444965563237</v>
      </c>
      <c r="M1021" s="178">
        <v>3.2627465799966253</v>
      </c>
      <c r="N1021" s="179">
        <v>3.8065376766627299</v>
      </c>
      <c r="O1021" s="179">
        <v>4.3503287733288341</v>
      </c>
      <c r="P1021" s="180">
        <v>4.8941198699949382</v>
      </c>
      <c r="V1021" s="2">
        <v>90</v>
      </c>
      <c r="W1021" s="190">
        <v>20.9</v>
      </c>
      <c r="X1021" s="190">
        <v>22.1</v>
      </c>
      <c r="Y1021" s="190">
        <v>23.1</v>
      </c>
      <c r="Z1021" s="190">
        <v>23.8</v>
      </c>
      <c r="AA1021" s="190">
        <v>24.5</v>
      </c>
      <c r="AB1021" s="190">
        <v>22.8</v>
      </c>
      <c r="AC1021" t="str">
        <f t="shared" si="319"/>
        <v/>
      </c>
      <c r="AF1021" s="2">
        <v>90</v>
      </c>
      <c r="AG1021" s="2">
        <v>45.4</v>
      </c>
      <c r="AK1021" s="2">
        <v>53.5</v>
      </c>
      <c r="AM1021" t="str">
        <f t="shared" si="320"/>
        <v/>
      </c>
      <c r="AN1021" t="str">
        <f t="shared" si="321"/>
        <v/>
      </c>
    </row>
    <row r="1022" spans="8:40">
      <c r="H1022" s="23">
        <v>430</v>
      </c>
      <c r="I1022" s="27">
        <v>1.9619026096722081</v>
      </c>
      <c r="J1022" s="27">
        <v>2.2888863779509094</v>
      </c>
      <c r="K1022" s="27">
        <v>2.6158701462296108</v>
      </c>
      <c r="L1022" s="27">
        <v>2.9428539145083121</v>
      </c>
      <c r="M1022" s="178">
        <v>3.3834690174867621</v>
      </c>
      <c r="N1022" s="179">
        <v>3.9473805204012224</v>
      </c>
      <c r="O1022" s="179">
        <v>4.5112920233156837</v>
      </c>
      <c r="P1022" s="180">
        <v>5.075203526230144</v>
      </c>
      <c r="V1022" s="2">
        <v>100</v>
      </c>
      <c r="W1022" s="190">
        <v>19.5</v>
      </c>
      <c r="X1022" s="190">
        <v>20.6</v>
      </c>
      <c r="Y1022" s="190">
        <v>21.7</v>
      </c>
      <c r="Z1022" s="190">
        <v>22.3</v>
      </c>
      <c r="AA1022" s="190">
        <v>22.9</v>
      </c>
      <c r="AB1022" s="190">
        <v>21.3</v>
      </c>
      <c r="AC1022" t="str">
        <f t="shared" si="319"/>
        <v/>
      </c>
      <c r="AF1022" s="2">
        <v>100</v>
      </c>
      <c r="AG1022" s="2">
        <v>42.1</v>
      </c>
      <c r="AK1022" s="2">
        <v>49.8</v>
      </c>
      <c r="AM1022" t="str">
        <f t="shared" si="320"/>
        <v/>
      </c>
      <c r="AN1022" t="str">
        <f t="shared" si="321"/>
        <v/>
      </c>
    </row>
    <row r="1023" spans="8:40">
      <c r="H1023" s="23">
        <v>450</v>
      </c>
      <c r="I1023" s="27">
        <v>2.0360266190490766</v>
      </c>
      <c r="J1023" s="27">
        <v>2.3753643888905889</v>
      </c>
      <c r="K1023" s="27">
        <v>2.7147021587321021</v>
      </c>
      <c r="L1023" s="27">
        <v>3.0540399285736148</v>
      </c>
      <c r="M1023" s="178">
        <v>3.503612257665722</v>
      </c>
      <c r="N1023" s="179">
        <v>4.087547633943343</v>
      </c>
      <c r="O1023" s="179">
        <v>4.671483010220963</v>
      </c>
      <c r="P1023" s="180">
        <v>5.2554183864985831</v>
      </c>
    </row>
    <row r="1024" spans="8:40" ht="15.75" thickBot="1">
      <c r="H1024" s="51">
        <v>400</v>
      </c>
      <c r="I1024" s="52">
        <v>1.8500554390179289</v>
      </c>
      <c r="J1024" s="52">
        <v>2.1583980121875839</v>
      </c>
      <c r="K1024" s="52">
        <v>2.4667405853572393</v>
      </c>
      <c r="L1024" s="52">
        <v>2.7750831585268938</v>
      </c>
      <c r="M1024" s="191">
        <v>3.2021551085410902</v>
      </c>
      <c r="N1024" s="192">
        <v>3.7358476266312719</v>
      </c>
      <c r="O1024" s="192">
        <v>4.2695401447214545</v>
      </c>
      <c r="P1024" s="193">
        <v>4.8032326628116362</v>
      </c>
      <c r="U1024" s="155">
        <f>U1036</f>
        <v>430</v>
      </c>
      <c r="V1024" s="2" t="s">
        <v>267</v>
      </c>
      <c r="W1024" s="2">
        <v>350</v>
      </c>
      <c r="X1024" s="2">
        <v>380</v>
      </c>
      <c r="Y1024" s="2">
        <v>410</v>
      </c>
      <c r="Z1024" s="2">
        <v>430</v>
      </c>
      <c r="AA1024" s="2">
        <v>450</v>
      </c>
      <c r="AB1024" s="2">
        <v>400</v>
      </c>
      <c r="AC1024" s="2"/>
      <c r="AE1024" s="155"/>
      <c r="AF1024" s="2" t="s">
        <v>268</v>
      </c>
      <c r="AG1024" s="2">
        <v>350</v>
      </c>
      <c r="AH1024" s="2">
        <v>380</v>
      </c>
      <c r="AI1024" s="2">
        <v>410</v>
      </c>
      <c r="AJ1024" s="2">
        <v>430</v>
      </c>
      <c r="AK1024" s="2">
        <v>450</v>
      </c>
      <c r="AL1024" s="2">
        <v>400</v>
      </c>
      <c r="AM1024" s="2"/>
    </row>
    <row r="1025" spans="16:40">
      <c r="U1025" s="2">
        <f>U1037</f>
        <v>100</v>
      </c>
      <c r="V1025" s="155">
        <v>10</v>
      </c>
      <c r="W1025" s="2"/>
      <c r="X1025" s="155"/>
      <c r="Y1025" s="2"/>
      <c r="Z1025" s="2"/>
      <c r="AA1025" s="2"/>
      <c r="AB1025" s="2"/>
      <c r="AC1025" t="str">
        <f t="shared" ref="AC1025:AC1034" si="322">IF(MAX(W1025:AB1025)/1.3&gt;U$1027,"Verbinder","")</f>
        <v/>
      </c>
      <c r="AE1025" s="2"/>
      <c r="AF1025" s="155">
        <v>10</v>
      </c>
      <c r="AG1025" s="2">
        <v>121.2</v>
      </c>
      <c r="AH1025" s="155"/>
      <c r="AI1025" s="2"/>
      <c r="AJ1025" s="2"/>
      <c r="AK1025" s="2">
        <v>143</v>
      </c>
      <c r="AL1025" s="2"/>
      <c r="AM1025" t="str">
        <f t="shared" ref="AM1025:AM1034" si="323">IF(MAX(AG1025:AL1025)/1.3&gt;AE$1027,"Verbinder","")</f>
        <v>Verbinder</v>
      </c>
      <c r="AN1025" t="str">
        <f t="shared" ref="AN1025:AN1033" si="324">IF(OR(AG1025&lt;W1025,AK1025&lt;AA1025),"ACHTUNG","")</f>
        <v/>
      </c>
    </row>
    <row r="1026" spans="16:40">
      <c r="U1026" s="155"/>
      <c r="V1026" s="2">
        <v>20</v>
      </c>
      <c r="W1026" s="2"/>
      <c r="X1026" s="2"/>
      <c r="Y1026" s="2"/>
      <c r="Z1026" s="2"/>
      <c r="AA1026" s="155"/>
      <c r="AB1026" s="2"/>
      <c r="AC1026" t="str">
        <f t="shared" si="322"/>
        <v/>
      </c>
      <c r="AE1026" s="155"/>
      <c r="AF1026" s="2">
        <v>20</v>
      </c>
      <c r="AG1026" s="2">
        <v>106.8</v>
      </c>
      <c r="AH1026" s="2"/>
      <c r="AI1026" s="2"/>
      <c r="AJ1026" s="2"/>
      <c r="AK1026" s="155">
        <v>125</v>
      </c>
      <c r="AL1026" s="2"/>
      <c r="AM1026" t="str">
        <f t="shared" si="323"/>
        <v>Verbinder</v>
      </c>
      <c r="AN1026" t="str">
        <f t="shared" si="324"/>
        <v/>
      </c>
    </row>
    <row r="1027" spans="16:40">
      <c r="U1027" s="2">
        <v>50</v>
      </c>
      <c r="V1027" s="2">
        <v>30</v>
      </c>
      <c r="W1027" s="2"/>
      <c r="X1027" s="2"/>
      <c r="Y1027" s="2"/>
      <c r="Z1027" s="2"/>
      <c r="AA1027" s="155"/>
      <c r="AB1027" s="2"/>
      <c r="AC1027" t="str">
        <f t="shared" si="322"/>
        <v/>
      </c>
      <c r="AE1027" s="2">
        <v>50</v>
      </c>
      <c r="AF1027" s="2">
        <v>30</v>
      </c>
      <c r="AG1027" s="2">
        <v>95.1</v>
      </c>
      <c r="AH1027" s="2"/>
      <c r="AI1027" s="2"/>
      <c r="AJ1027" s="2"/>
      <c r="AK1027" s="155">
        <v>112</v>
      </c>
      <c r="AL1027" s="2"/>
      <c r="AM1027" t="str">
        <f t="shared" si="323"/>
        <v>Verbinder</v>
      </c>
      <c r="AN1027" t="str">
        <f t="shared" si="324"/>
        <v/>
      </c>
    </row>
    <row r="1028" spans="16:40">
      <c r="U1028" s="155">
        <f>N939</f>
        <v>0</v>
      </c>
      <c r="V1028" s="2">
        <v>40</v>
      </c>
      <c r="W1028" s="2">
        <v>34.1</v>
      </c>
      <c r="X1028" s="2">
        <v>35.9</v>
      </c>
      <c r="Y1028" s="2">
        <v>37.700000000000003</v>
      </c>
      <c r="Z1028" s="2">
        <v>38.799999999999997</v>
      </c>
      <c r="AA1028" s="2">
        <v>39.9</v>
      </c>
      <c r="AB1028" s="2">
        <v>37.1</v>
      </c>
      <c r="AC1028" t="str">
        <f t="shared" si="322"/>
        <v/>
      </c>
      <c r="AE1028" s="155" t="e">
        <f>#REF!</f>
        <v>#REF!</v>
      </c>
      <c r="AF1028" s="2">
        <v>40</v>
      </c>
      <c r="AG1028" s="2">
        <v>85.5</v>
      </c>
      <c r="AH1028" s="2"/>
      <c r="AI1028" s="2"/>
      <c r="AJ1028" s="2"/>
      <c r="AK1028" s="2">
        <v>100</v>
      </c>
      <c r="AL1028" s="2"/>
      <c r="AM1028" t="str">
        <f t="shared" si="323"/>
        <v>Verbinder</v>
      </c>
      <c r="AN1028" t="str">
        <f t="shared" si="324"/>
        <v/>
      </c>
    </row>
    <row r="1029" spans="16:40">
      <c r="U1029" s="2"/>
      <c r="V1029" s="2">
        <v>50</v>
      </c>
      <c r="W1029" s="2">
        <v>31.3</v>
      </c>
      <c r="X1029" s="2">
        <v>32.9</v>
      </c>
      <c r="Y1029" s="2">
        <v>34.5</v>
      </c>
      <c r="Z1029" s="2">
        <v>35.6</v>
      </c>
      <c r="AA1029" s="2">
        <v>36.6</v>
      </c>
      <c r="AB1029" s="155">
        <v>34</v>
      </c>
      <c r="AC1029" t="str">
        <f t="shared" si="322"/>
        <v/>
      </c>
      <c r="AE1029" s="2"/>
      <c r="AF1029" s="2">
        <v>50</v>
      </c>
      <c r="AG1029" s="2">
        <v>77.5</v>
      </c>
      <c r="AH1029" s="2"/>
      <c r="AI1029" s="2"/>
      <c r="AJ1029" s="2"/>
      <c r="AK1029" s="2">
        <v>90.7</v>
      </c>
      <c r="AL1029" s="2"/>
      <c r="AM1029" t="str">
        <f t="shared" si="323"/>
        <v>Verbinder</v>
      </c>
      <c r="AN1029" t="str">
        <f t="shared" si="324"/>
        <v/>
      </c>
    </row>
    <row r="1030" spans="16:40">
      <c r="U1030" s="2"/>
      <c r="V1030" s="2">
        <v>60</v>
      </c>
      <c r="W1030" s="2">
        <v>28.9</v>
      </c>
      <c r="X1030" s="2">
        <v>30.4</v>
      </c>
      <c r="Y1030" s="2">
        <v>31.8</v>
      </c>
      <c r="Z1030" s="2">
        <v>32.799999999999997</v>
      </c>
      <c r="AA1030" s="2">
        <v>33.700000000000003</v>
      </c>
      <c r="AB1030" s="2">
        <v>31.4</v>
      </c>
      <c r="AC1030" t="str">
        <f t="shared" si="322"/>
        <v/>
      </c>
      <c r="AE1030" s="2"/>
      <c r="AF1030" s="2">
        <v>60</v>
      </c>
      <c r="AG1030" s="2">
        <v>70.599999999999994</v>
      </c>
      <c r="AH1030" s="2"/>
      <c r="AI1030" s="2"/>
      <c r="AJ1030" s="2"/>
      <c r="AK1030" s="2">
        <v>82.8</v>
      </c>
      <c r="AL1030" s="2"/>
      <c r="AM1030" t="str">
        <f t="shared" si="323"/>
        <v>Verbinder</v>
      </c>
      <c r="AN1030" t="str">
        <f t="shared" si="324"/>
        <v/>
      </c>
    </row>
    <row r="1031" spans="16:40">
      <c r="U1031" s="2"/>
      <c r="V1031" s="2">
        <v>70</v>
      </c>
      <c r="W1031" s="2">
        <v>26.8</v>
      </c>
      <c r="X1031" s="2">
        <v>28.2</v>
      </c>
      <c r="Y1031" s="2">
        <v>29.5</v>
      </c>
      <c r="Z1031" s="2">
        <v>30.4</v>
      </c>
      <c r="AA1031" s="2">
        <v>31.3</v>
      </c>
      <c r="AB1031" s="2">
        <v>29.1</v>
      </c>
      <c r="AC1031" t="str">
        <f t="shared" si="322"/>
        <v/>
      </c>
      <c r="AE1031" s="2"/>
      <c r="AF1031" s="2">
        <v>70</v>
      </c>
      <c r="AG1031" s="2">
        <v>65.2</v>
      </c>
      <c r="AH1031" s="2"/>
      <c r="AI1031" s="2"/>
      <c r="AJ1031" s="2"/>
      <c r="AK1031" s="2">
        <v>76.099999999999994</v>
      </c>
      <c r="AL1031" s="2"/>
      <c r="AM1031" t="str">
        <f t="shared" si="323"/>
        <v>Verbinder</v>
      </c>
      <c r="AN1031" t="str">
        <f t="shared" si="324"/>
        <v/>
      </c>
    </row>
    <row r="1032" spans="16:40">
      <c r="V1032" s="2">
        <v>80</v>
      </c>
      <c r="W1032" s="2">
        <v>24.9</v>
      </c>
      <c r="X1032" s="2">
        <v>26.3</v>
      </c>
      <c r="Y1032" s="2">
        <v>27.5</v>
      </c>
      <c r="Z1032" s="2">
        <v>28.3</v>
      </c>
      <c r="AA1032" s="2">
        <v>29.1</v>
      </c>
      <c r="AB1032" s="2">
        <v>27.1</v>
      </c>
      <c r="AC1032" t="str">
        <f t="shared" si="322"/>
        <v/>
      </c>
      <c r="AF1032" s="2">
        <v>80</v>
      </c>
      <c r="AG1032" s="2">
        <v>60.1</v>
      </c>
      <c r="AK1032" s="2">
        <v>70.400000000000006</v>
      </c>
      <c r="AM1032" t="str">
        <f t="shared" si="323"/>
        <v>Verbinder</v>
      </c>
      <c r="AN1032" t="str">
        <f t="shared" si="324"/>
        <v/>
      </c>
    </row>
    <row r="1033" spans="16:40">
      <c r="V1033" s="2">
        <v>90</v>
      </c>
      <c r="W1033" s="2">
        <v>23.3</v>
      </c>
      <c r="X1033" s="2">
        <v>24.6</v>
      </c>
      <c r="Y1033" s="2">
        <v>25.7</v>
      </c>
      <c r="Z1033" s="2">
        <v>26.5</v>
      </c>
      <c r="AA1033" s="2">
        <v>27.2</v>
      </c>
      <c r="AB1033" s="2">
        <v>25.3</v>
      </c>
      <c r="AC1033" t="str">
        <f t="shared" si="322"/>
        <v/>
      </c>
      <c r="AF1033" s="2">
        <v>90</v>
      </c>
      <c r="AG1033" s="2">
        <v>55.7</v>
      </c>
      <c r="AK1033" s="2">
        <v>65.400000000000006</v>
      </c>
      <c r="AM1033" t="str">
        <f t="shared" si="323"/>
        <v>Verbinder</v>
      </c>
      <c r="AN1033" t="str">
        <f t="shared" si="324"/>
        <v/>
      </c>
    </row>
    <row r="1034" spans="16:40">
      <c r="V1034" s="2">
        <v>100</v>
      </c>
      <c r="W1034" s="2">
        <v>21.8</v>
      </c>
      <c r="X1034" s="155">
        <v>23</v>
      </c>
      <c r="Y1034" s="2">
        <v>24.2</v>
      </c>
      <c r="Z1034" s="2">
        <v>24.9</v>
      </c>
      <c r="AA1034" s="2">
        <v>25.6</v>
      </c>
      <c r="AB1034" s="2">
        <v>23.8</v>
      </c>
      <c r="AC1034" t="str">
        <f t="shared" si="322"/>
        <v/>
      </c>
      <c r="AF1034" s="2">
        <v>100</v>
      </c>
      <c r="AG1034" s="2">
        <v>51.8</v>
      </c>
      <c r="AK1034" s="2">
        <v>61.1</v>
      </c>
      <c r="AM1034" t="str">
        <f t="shared" si="323"/>
        <v/>
      </c>
      <c r="AN1034" t="str">
        <f>IF(OR(AG1034&lt;W1034,AK1034&lt;AA1034),"ACHTUNG","")</f>
        <v/>
      </c>
    </row>
    <row r="1036" spans="16:40">
      <c r="P1036"/>
      <c r="Q1036"/>
      <c r="R1036"/>
      <c r="S1036"/>
      <c r="U1036" s="194">
        <v>430</v>
      </c>
      <c r="V1036" s="2" t="s">
        <v>269</v>
      </c>
      <c r="W1036" s="2">
        <v>350</v>
      </c>
      <c r="X1036" s="2">
        <v>380</v>
      </c>
      <c r="Y1036" s="2">
        <v>410</v>
      </c>
      <c r="Z1036" s="2">
        <v>430</v>
      </c>
      <c r="AA1036" s="2">
        <v>450</v>
      </c>
      <c r="AB1036" s="2">
        <v>400</v>
      </c>
      <c r="AC1036" s="2"/>
      <c r="AE1036" s="2"/>
      <c r="AF1036" s="2" t="s">
        <v>270</v>
      </c>
      <c r="AG1036" s="2">
        <v>350</v>
      </c>
      <c r="AH1036" s="2">
        <v>380</v>
      </c>
      <c r="AI1036" s="2">
        <v>410</v>
      </c>
      <c r="AJ1036" s="2">
        <v>430</v>
      </c>
      <c r="AK1036" s="2">
        <v>450</v>
      </c>
      <c r="AL1036" s="2">
        <v>400</v>
      </c>
      <c r="AM1036" s="2"/>
    </row>
    <row r="1037" spans="16:40">
      <c r="P1037"/>
      <c r="Q1037"/>
      <c r="R1037"/>
      <c r="S1037"/>
      <c r="U1037" s="194">
        <v>100</v>
      </c>
      <c r="V1037" s="155">
        <v>10</v>
      </c>
      <c r="W1037" s="2"/>
      <c r="X1037" s="2"/>
      <c r="Y1037" s="2"/>
      <c r="Z1037" s="2"/>
      <c r="AA1037" s="2"/>
      <c r="AB1037" s="2"/>
      <c r="AC1037" t="str">
        <f t="shared" ref="AC1037:AC1046" si="325">IF(MAX(W1037:AB1037)/1.3&gt;U$1039,"Verbinder","")</f>
        <v/>
      </c>
      <c r="AE1037" s="2"/>
      <c r="AF1037" s="155">
        <v>10</v>
      </c>
      <c r="AG1037" s="2">
        <v>139</v>
      </c>
      <c r="AH1037" s="2"/>
      <c r="AI1037" s="2"/>
      <c r="AJ1037" s="2"/>
      <c r="AK1037" s="2">
        <v>164</v>
      </c>
      <c r="AL1037" s="2"/>
      <c r="AM1037" t="str">
        <f t="shared" ref="AM1037:AM1046" si="326">IF(MAX(AG1037:AL1037)/1.3&gt;AE$1039,"Verbinder","")</f>
        <v>Verbinder</v>
      </c>
      <c r="AN1037" t="str">
        <f t="shared" ref="AN1037:AN1045" si="327">IF(OR(AG1037&lt;W1037,AK1037&lt;AA1037),"ACHTUNG","")</f>
        <v/>
      </c>
    </row>
    <row r="1038" spans="16:40">
      <c r="P1038"/>
      <c r="Q1038"/>
      <c r="R1038"/>
      <c r="S1038"/>
      <c r="U1038" s="2"/>
      <c r="V1038" s="2">
        <v>20</v>
      </c>
      <c r="W1038" s="2"/>
      <c r="X1038" s="2"/>
      <c r="Y1038" s="2"/>
      <c r="Z1038" s="2"/>
      <c r="AA1038" s="2"/>
      <c r="AB1038" s="2"/>
      <c r="AC1038" t="str">
        <f t="shared" si="325"/>
        <v/>
      </c>
      <c r="AE1038" s="2"/>
      <c r="AF1038" s="2">
        <v>20</v>
      </c>
      <c r="AG1038" s="2">
        <v>124</v>
      </c>
      <c r="AH1038" s="2"/>
      <c r="AI1038" s="2"/>
      <c r="AJ1038" s="2"/>
      <c r="AK1038" s="2">
        <v>145</v>
      </c>
      <c r="AL1038" s="2"/>
      <c r="AM1038" t="str">
        <f t="shared" si="326"/>
        <v>Verbinder</v>
      </c>
      <c r="AN1038" t="str">
        <f t="shared" si="327"/>
        <v/>
      </c>
    </row>
    <row r="1039" spans="16:40">
      <c r="P1039"/>
      <c r="Q1039"/>
      <c r="R1039"/>
      <c r="S1039"/>
      <c r="U1039" s="2">
        <v>50</v>
      </c>
      <c r="V1039" s="2">
        <v>30</v>
      </c>
      <c r="W1039" s="2"/>
      <c r="X1039" s="2"/>
      <c r="Y1039" s="2"/>
      <c r="Z1039" s="2"/>
      <c r="AA1039" s="2"/>
      <c r="AB1039" s="2"/>
      <c r="AC1039" t="str">
        <f t="shared" si="325"/>
        <v/>
      </c>
      <c r="AE1039" s="2">
        <v>50</v>
      </c>
      <c r="AF1039" s="2">
        <v>30</v>
      </c>
      <c r="AG1039" s="2">
        <v>111</v>
      </c>
      <c r="AH1039" s="2"/>
      <c r="AI1039" s="2"/>
      <c r="AJ1039" s="2"/>
      <c r="AK1039" s="2">
        <v>130</v>
      </c>
      <c r="AL1039" s="2"/>
      <c r="AM1039" t="str">
        <f t="shared" si="326"/>
        <v>Verbinder</v>
      </c>
      <c r="AN1039" t="str">
        <f>IF(OR(AG1039&lt;W1039,AK1039&lt;AA1039),"ACHTUNG","")</f>
        <v/>
      </c>
    </row>
    <row r="1040" spans="16:40">
      <c r="P1040"/>
      <c r="Q1040"/>
      <c r="R1040"/>
      <c r="S1040"/>
      <c r="U1040" s="155">
        <f>N940</f>
        <v>0</v>
      </c>
      <c r="V1040" s="2">
        <v>40</v>
      </c>
      <c r="W1040" s="2">
        <v>36.1</v>
      </c>
      <c r="X1040" s="2">
        <v>38.1</v>
      </c>
      <c r="Y1040" s="2">
        <v>39.9</v>
      </c>
      <c r="Z1040" s="2">
        <v>41.1</v>
      </c>
      <c r="AA1040" s="2">
        <v>42.3</v>
      </c>
      <c r="AB1040" s="2">
        <v>39.299999999999997</v>
      </c>
      <c r="AC1040" t="str">
        <f t="shared" si="325"/>
        <v/>
      </c>
      <c r="AE1040" s="155" t="e">
        <f>#REF!</f>
        <v>#REF!</v>
      </c>
      <c r="AF1040" s="2">
        <v>40</v>
      </c>
      <c r="AG1040" s="2">
        <v>100</v>
      </c>
      <c r="AH1040" s="2"/>
      <c r="AI1040" s="2"/>
      <c r="AJ1040" s="2"/>
      <c r="AK1040" s="2">
        <v>118</v>
      </c>
      <c r="AL1040" s="2"/>
      <c r="AM1040" t="str">
        <f t="shared" si="326"/>
        <v>Verbinder</v>
      </c>
      <c r="AN1040" t="str">
        <f t="shared" si="327"/>
        <v/>
      </c>
    </row>
    <row r="1041" spans="16:40">
      <c r="P1041"/>
      <c r="Q1041"/>
      <c r="R1041"/>
      <c r="S1041"/>
      <c r="U1041" s="2"/>
      <c r="V1041" s="2">
        <v>50</v>
      </c>
      <c r="W1041" s="2">
        <v>33.5</v>
      </c>
      <c r="X1041" s="2">
        <v>35.200000000000003</v>
      </c>
      <c r="Y1041" s="155">
        <v>37</v>
      </c>
      <c r="Z1041" s="2">
        <v>38.1</v>
      </c>
      <c r="AA1041" s="2">
        <v>39.200000000000003</v>
      </c>
      <c r="AB1041" s="2">
        <v>36.4</v>
      </c>
      <c r="AC1041" t="str">
        <f t="shared" si="325"/>
        <v/>
      </c>
      <c r="AE1041" s="2"/>
      <c r="AF1041" s="2">
        <v>50</v>
      </c>
      <c r="AG1041" s="2">
        <v>91.5</v>
      </c>
      <c r="AH1041" s="2"/>
      <c r="AI1041" s="2"/>
      <c r="AJ1041" s="2"/>
      <c r="AK1041" s="2">
        <v>107</v>
      </c>
      <c r="AL1041" s="2"/>
      <c r="AM1041" t="str">
        <f t="shared" si="326"/>
        <v>Verbinder</v>
      </c>
      <c r="AN1041" t="str">
        <f t="shared" si="327"/>
        <v/>
      </c>
    </row>
    <row r="1042" spans="16:40">
      <c r="P1042"/>
      <c r="Q1042"/>
      <c r="R1042"/>
      <c r="S1042"/>
      <c r="U1042" s="2"/>
      <c r="V1042" s="2">
        <v>60</v>
      </c>
      <c r="W1042" s="2">
        <v>31.1</v>
      </c>
      <c r="X1042" s="2">
        <v>32.799999999999997</v>
      </c>
      <c r="Y1042" s="2">
        <v>34.4</v>
      </c>
      <c r="Z1042" s="2">
        <v>35.4</v>
      </c>
      <c r="AA1042" s="2">
        <v>36.4</v>
      </c>
      <c r="AB1042" s="2">
        <v>33.799999999999997</v>
      </c>
      <c r="AC1042" t="str">
        <f t="shared" si="325"/>
        <v/>
      </c>
      <c r="AE1042" s="2"/>
      <c r="AF1042" s="2">
        <v>60</v>
      </c>
      <c r="AG1042" s="2">
        <v>84</v>
      </c>
      <c r="AH1042" s="2"/>
      <c r="AI1042" s="2"/>
      <c r="AJ1042" s="2"/>
      <c r="AK1042" s="2">
        <v>98.1</v>
      </c>
      <c r="AL1042" s="2"/>
      <c r="AM1042" t="str">
        <f t="shared" si="326"/>
        <v>Verbinder</v>
      </c>
      <c r="AN1042" t="str">
        <f t="shared" si="327"/>
        <v/>
      </c>
    </row>
    <row r="1043" spans="16:40">
      <c r="P1043"/>
      <c r="Q1043"/>
      <c r="R1043"/>
      <c r="S1043"/>
      <c r="U1043" s="2"/>
      <c r="V1043" s="2">
        <v>70</v>
      </c>
      <c r="W1043" s="2">
        <v>29.1</v>
      </c>
      <c r="X1043" s="2">
        <v>30.6</v>
      </c>
      <c r="Y1043" s="2">
        <v>32.1</v>
      </c>
      <c r="Z1043" s="2">
        <v>33.1</v>
      </c>
      <c r="AA1043" s="155">
        <v>34</v>
      </c>
      <c r="AB1043" s="2">
        <v>31.6</v>
      </c>
      <c r="AC1043" t="str">
        <f t="shared" si="325"/>
        <v/>
      </c>
      <c r="AE1043" s="2"/>
      <c r="AF1043" s="2">
        <v>70</v>
      </c>
      <c r="AG1043" s="2">
        <v>77.599999999999994</v>
      </c>
      <c r="AH1043" s="2"/>
      <c r="AI1043" s="2"/>
      <c r="AJ1043" s="2"/>
      <c r="AK1043" s="2">
        <v>90.6</v>
      </c>
      <c r="AL1043" s="2"/>
      <c r="AM1043" t="str">
        <f t="shared" si="326"/>
        <v>Verbinder</v>
      </c>
      <c r="AN1043" t="str">
        <f t="shared" si="327"/>
        <v/>
      </c>
    </row>
    <row r="1044" spans="16:40">
      <c r="P1044"/>
      <c r="Q1044"/>
      <c r="R1044"/>
      <c r="S1044"/>
      <c r="V1044" s="2">
        <v>80</v>
      </c>
      <c r="W1044" s="2">
        <v>27.3</v>
      </c>
      <c r="X1044" s="2">
        <v>28.7</v>
      </c>
      <c r="Y1044" s="2">
        <v>30.1</v>
      </c>
      <c r="Z1044" s="155">
        <v>31</v>
      </c>
      <c r="AA1044" s="2">
        <v>31.9</v>
      </c>
      <c r="AB1044" s="2">
        <v>29.7</v>
      </c>
      <c r="AC1044" t="str">
        <f t="shared" si="325"/>
        <v/>
      </c>
      <c r="AF1044" s="2">
        <v>80</v>
      </c>
      <c r="AG1044" s="2">
        <v>72</v>
      </c>
      <c r="AK1044" s="2">
        <v>84</v>
      </c>
      <c r="AM1044" t="str">
        <f t="shared" si="326"/>
        <v>Verbinder</v>
      </c>
      <c r="AN1044" t="str">
        <f t="shared" si="327"/>
        <v/>
      </c>
    </row>
    <row r="1045" spans="16:40">
      <c r="P1045"/>
      <c r="Q1045"/>
      <c r="R1045"/>
      <c r="S1045"/>
      <c r="V1045" s="2">
        <v>90</v>
      </c>
      <c r="W1045" s="2">
        <v>25.7</v>
      </c>
      <c r="X1045" s="155">
        <v>27</v>
      </c>
      <c r="Y1045" s="2">
        <v>28.3</v>
      </c>
      <c r="Z1045" s="2">
        <v>29.2</v>
      </c>
      <c r="AA1045" s="155">
        <v>30</v>
      </c>
      <c r="AB1045" s="2">
        <v>27.9</v>
      </c>
      <c r="AC1045" t="str">
        <f t="shared" si="325"/>
        <v/>
      </c>
      <c r="AF1045" s="2">
        <v>90</v>
      </c>
      <c r="AG1045" s="2">
        <v>66.900000000000006</v>
      </c>
      <c r="AK1045" s="2">
        <v>78.3</v>
      </c>
      <c r="AM1045" t="str">
        <f t="shared" si="326"/>
        <v>Verbinder</v>
      </c>
      <c r="AN1045" t="str">
        <f t="shared" si="327"/>
        <v/>
      </c>
    </row>
    <row r="1046" spans="16:40">
      <c r="P1046"/>
      <c r="Q1046"/>
      <c r="R1046"/>
      <c r="S1046"/>
      <c r="V1046" s="2">
        <v>100</v>
      </c>
      <c r="W1046" s="2">
        <v>24.3</v>
      </c>
      <c r="X1046" s="2">
        <v>25.5</v>
      </c>
      <c r="Y1046" s="2">
        <v>26.7</v>
      </c>
      <c r="Z1046" s="2">
        <v>27.5</v>
      </c>
      <c r="AA1046" s="2">
        <v>28.3</v>
      </c>
      <c r="AB1046" s="2">
        <v>26.3</v>
      </c>
      <c r="AC1046" t="str">
        <f t="shared" si="325"/>
        <v/>
      </c>
      <c r="AF1046" s="2">
        <v>100</v>
      </c>
      <c r="AG1046" s="2">
        <v>62.4</v>
      </c>
      <c r="AK1046" s="2">
        <v>73.400000000000006</v>
      </c>
      <c r="AM1046" t="str">
        <f t="shared" si="326"/>
        <v>Verbinder</v>
      </c>
      <c r="AN1046" t="str">
        <f>IF(OR(AG1046&lt;W1046,AK1046&lt;AA1046),"ACHTUNG","")</f>
        <v/>
      </c>
    </row>
    <row r="1047" spans="16:40">
      <c r="P1047"/>
      <c r="Q1047"/>
      <c r="R1047"/>
      <c r="S1047"/>
    </row>
    <row r="1048" spans="16:40">
      <c r="P1048"/>
      <c r="Q1048"/>
      <c r="R1048"/>
      <c r="S1048"/>
    </row>
    <row r="1049" spans="16:40">
      <c r="P1049"/>
      <c r="Q1049"/>
      <c r="R1049"/>
      <c r="S1049"/>
    </row>
    <row r="1050" spans="16:40">
      <c r="P1050"/>
      <c r="Q1050"/>
      <c r="R1050"/>
      <c r="S1050"/>
    </row>
    <row r="1051" spans="16:40">
      <c r="P1051"/>
      <c r="Q1051"/>
      <c r="R1051"/>
      <c r="S1051"/>
    </row>
    <row r="1052" spans="16:40">
      <c r="P1052"/>
      <c r="Q1052"/>
      <c r="R1052"/>
      <c r="S1052"/>
    </row>
    <row r="1053" spans="16:40">
      <c r="P1053"/>
      <c r="Q1053"/>
      <c r="R1053"/>
      <c r="S1053"/>
    </row>
    <row r="1054" spans="16:40">
      <c r="P1054"/>
      <c r="Q1054"/>
      <c r="R1054"/>
      <c r="S1054"/>
    </row>
    <row r="1055" spans="16:40">
      <c r="P1055"/>
      <c r="Q1055"/>
      <c r="R1055"/>
      <c r="S1055"/>
    </row>
    <row r="1056" spans="16:40">
      <c r="P1056"/>
      <c r="Q1056"/>
      <c r="R1056"/>
      <c r="S1056"/>
    </row>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sheetData>
  <sheetProtection algorithmName="SHA-512" hashValue="ZpJe8BOa2ixKwIDI/bMeYw9CcwhgDGbKv9S/I5C3iGS6TcKqnes+C0UpfQoLtYfvd9TNYyUtXmAWZZBhoLkoTA==" saltValue="cSE1vqvhiQdUNnJW1JMVRQ==" spinCount="100000" sheet="1" objects="1" scenarios="1" selectLockedCells="1"/>
  <customSheetViews>
    <customSheetView guid="{88029C9E-0AAA-4AEA-8FBA-3530118F01BF}" hiddenRows="1" topLeftCell="J1">
      <selection activeCell="B530" sqref="B530"/>
      <pageMargins left="0.7" right="0.7" top="0.78740157499999996" bottom="0.78740157499999996" header="0.3" footer="0.3"/>
      <pageSetup paperSize="9" orientation="portrait" r:id="rId1"/>
    </customSheetView>
  </customSheetViews>
  <mergeCells count="58">
    <mergeCell ref="P931:T931"/>
    <mergeCell ref="G991:G992"/>
    <mergeCell ref="K800:N800"/>
    <mergeCell ref="S800:V800"/>
    <mergeCell ref="K801:N801"/>
    <mergeCell ref="S801:V801"/>
    <mergeCell ref="K802:N802"/>
    <mergeCell ref="P802:Q802"/>
    <mergeCell ref="S802:V802"/>
    <mergeCell ref="K781:N781"/>
    <mergeCell ref="S781:V781"/>
    <mergeCell ref="K782:N782"/>
    <mergeCell ref="S782:V782"/>
    <mergeCell ref="K783:L783"/>
    <mergeCell ref="M783:N783"/>
    <mergeCell ref="O783:P783"/>
    <mergeCell ref="S783:V783"/>
    <mergeCell ref="B744:C758"/>
    <mergeCell ref="R760:U760"/>
    <mergeCell ref="K761:O761"/>
    <mergeCell ref="R761:S761"/>
    <mergeCell ref="T761:U761"/>
    <mergeCell ref="V761:W761"/>
    <mergeCell ref="W622:AA622"/>
    <mergeCell ref="AC622:AG622"/>
    <mergeCell ref="P661:T661"/>
    <mergeCell ref="J687:L701"/>
    <mergeCell ref="B706:B720"/>
    <mergeCell ref="J725:L739"/>
    <mergeCell ref="W599:AA599"/>
    <mergeCell ref="W607:AA607"/>
    <mergeCell ref="AC607:AG607"/>
    <mergeCell ref="W615:AA615"/>
    <mergeCell ref="AC615:AG615"/>
    <mergeCell ref="P616:T616"/>
    <mergeCell ref="H392:H393"/>
    <mergeCell ref="P392:T392"/>
    <mergeCell ref="P442:T442"/>
    <mergeCell ref="P500:T500"/>
    <mergeCell ref="P517:T517"/>
    <mergeCell ref="P581:T581"/>
    <mergeCell ref="V87:Z87"/>
    <mergeCell ref="AB87:AF87"/>
    <mergeCell ref="P125:T125"/>
    <mergeCell ref="P188:T188"/>
    <mergeCell ref="P263:T263"/>
    <mergeCell ref="W363:AA363"/>
    <mergeCell ref="AC363:AG363"/>
    <mergeCell ref="P336:T336"/>
    <mergeCell ref="P5:T5"/>
    <mergeCell ref="V72:X72"/>
    <mergeCell ref="V73:Z73"/>
    <mergeCell ref="AB73:AF73"/>
    <mergeCell ref="L75:L76"/>
    <mergeCell ref="P75:T75"/>
    <mergeCell ref="P18:T18"/>
    <mergeCell ref="P41:T41"/>
    <mergeCell ref="P58:T58"/>
  </mergeCells>
  <phoneticPr fontId="56" type="noConversion"/>
  <dataValidations count="1">
    <dataValidation type="list" allowBlank="1" showInputMessage="1" showErrorMessage="1" sqref="B418 B987 B612 B89 B535 B359" xr:uid="{00000000-0002-0000-0000-000000000000}">
      <formula1>$V$7:$V$16</formula1>
    </dataValidation>
  </dataValidations>
  <pageMargins left="0.7" right="0.7" top="0.78740157499999996" bottom="0.78740157499999996" header="0.3" footer="0.3"/>
  <pageSetup paperSize="9" orientation="portrait" r:id="rId2"/>
  <drawing r:id="rId3"/>
  <legacyDrawing r:id="rId4"/>
  <oleObjects>
    <mc:AlternateContent xmlns:mc="http://schemas.openxmlformats.org/markup-compatibility/2006">
      <mc:Choice Requires="x14">
        <oleObject progId="Equation.3" shapeId="1025" r:id="rId5">
          <objectPr defaultSize="0" autoPict="0" r:id="rId6">
            <anchor moveWithCells="1">
              <from>
                <xdr:col>2</xdr:col>
                <xdr:colOff>704850</xdr:colOff>
                <xdr:row>98</xdr:row>
                <xdr:rowOff>133350</xdr:rowOff>
              </from>
              <to>
                <xdr:col>4</xdr:col>
                <xdr:colOff>561975</xdr:colOff>
                <xdr:row>100</xdr:row>
                <xdr:rowOff>0</xdr:rowOff>
              </to>
            </anchor>
          </objectPr>
        </oleObject>
      </mc:Choice>
      <mc:Fallback>
        <oleObject progId="Equation.3" shapeId="1025" r:id="rId5"/>
      </mc:Fallback>
    </mc:AlternateContent>
    <mc:AlternateContent xmlns:mc="http://schemas.openxmlformats.org/markup-compatibility/2006">
      <mc:Choice Requires="x14">
        <oleObject progId="Equation.3" shapeId="1027" r:id="rId7">
          <objectPr defaultSize="0" autoPict="0" r:id="rId8">
            <anchor moveWithCells="1">
              <from>
                <xdr:col>7</xdr:col>
                <xdr:colOff>695325</xdr:colOff>
                <xdr:row>53</xdr:row>
                <xdr:rowOff>180975</xdr:rowOff>
              </from>
              <to>
                <xdr:col>11</xdr:col>
                <xdr:colOff>647700</xdr:colOff>
                <xdr:row>55</xdr:row>
                <xdr:rowOff>0</xdr:rowOff>
              </to>
            </anchor>
          </objectPr>
        </oleObject>
      </mc:Choice>
      <mc:Fallback>
        <oleObject progId="Equation.3" shapeId="1027" r:id="rId7"/>
      </mc:Fallback>
    </mc:AlternateContent>
    <mc:AlternateContent xmlns:mc="http://schemas.openxmlformats.org/markup-compatibility/2006">
      <mc:Choice Requires="x14">
        <oleObject progId="Equation.3" shapeId="1028" r:id="rId9">
          <objectPr defaultSize="0" autoPict="0" r:id="rId10">
            <anchor moveWithCells="1">
              <from>
                <xdr:col>4</xdr:col>
                <xdr:colOff>676275</xdr:colOff>
                <xdr:row>88</xdr:row>
                <xdr:rowOff>142875</xdr:rowOff>
              </from>
              <to>
                <xdr:col>9</xdr:col>
                <xdr:colOff>552450</xdr:colOff>
                <xdr:row>90</xdr:row>
                <xdr:rowOff>19050</xdr:rowOff>
              </to>
            </anchor>
          </objectPr>
        </oleObject>
      </mc:Choice>
      <mc:Fallback>
        <oleObject progId="Equation.3" shapeId="1028" r:id="rId9"/>
      </mc:Fallback>
    </mc:AlternateContent>
    <mc:AlternateContent xmlns:mc="http://schemas.openxmlformats.org/markup-compatibility/2006">
      <mc:Choice Requires="x14">
        <oleObject progId="Equation.3" shapeId="1029" r:id="rId11">
          <objectPr defaultSize="0" autoPict="0" r:id="rId12">
            <anchor moveWithCells="1">
              <from>
                <xdr:col>2</xdr:col>
                <xdr:colOff>676275</xdr:colOff>
                <xdr:row>100</xdr:row>
                <xdr:rowOff>19050</xdr:rowOff>
              </from>
              <to>
                <xdr:col>4</xdr:col>
                <xdr:colOff>561975</xdr:colOff>
                <xdr:row>101</xdr:row>
                <xdr:rowOff>9525</xdr:rowOff>
              </to>
            </anchor>
          </objectPr>
        </oleObject>
      </mc:Choice>
      <mc:Fallback>
        <oleObject progId="Equation.3" shapeId="1029" r:id="rId11"/>
      </mc:Fallback>
    </mc:AlternateContent>
    <mc:AlternateContent xmlns:mc="http://schemas.openxmlformats.org/markup-compatibility/2006">
      <mc:Choice Requires="x14">
        <oleObject progId="Equation.3" shapeId="1030" r:id="rId13">
          <objectPr defaultSize="0" autoPict="0" r:id="rId6">
            <anchor moveWithCells="1">
              <from>
                <xdr:col>4</xdr:col>
                <xdr:colOff>542925</xdr:colOff>
                <xdr:row>142</xdr:row>
                <xdr:rowOff>123825</xdr:rowOff>
              </from>
              <to>
                <xdr:col>6</xdr:col>
                <xdr:colOff>400050</xdr:colOff>
                <xdr:row>144</xdr:row>
                <xdr:rowOff>0</xdr:rowOff>
              </to>
            </anchor>
          </objectPr>
        </oleObject>
      </mc:Choice>
      <mc:Fallback>
        <oleObject progId="Equation.3" shapeId="1030" r:id="rId13"/>
      </mc:Fallback>
    </mc:AlternateContent>
    <mc:AlternateContent xmlns:mc="http://schemas.openxmlformats.org/markup-compatibility/2006">
      <mc:Choice Requires="x14">
        <oleObject progId="Equation.3" shapeId="1031" r:id="rId14">
          <objectPr defaultSize="0" autoPict="0" r:id="rId15">
            <anchor moveWithCells="1">
              <from>
                <xdr:col>4</xdr:col>
                <xdr:colOff>571500</xdr:colOff>
                <xdr:row>144</xdr:row>
                <xdr:rowOff>19050</xdr:rowOff>
              </from>
              <to>
                <xdr:col>6</xdr:col>
                <xdr:colOff>457200</xdr:colOff>
                <xdr:row>145</xdr:row>
                <xdr:rowOff>9525</xdr:rowOff>
              </to>
            </anchor>
          </objectPr>
        </oleObject>
      </mc:Choice>
      <mc:Fallback>
        <oleObject progId="Equation.3" shapeId="1031" r:id="rId14"/>
      </mc:Fallback>
    </mc:AlternateContent>
    <mc:AlternateContent xmlns:mc="http://schemas.openxmlformats.org/markup-compatibility/2006">
      <mc:Choice Requires="x14">
        <oleObject progId="Equation.3" shapeId="1032" r:id="rId16">
          <objectPr defaultSize="0" autoPict="0" r:id="rId6">
            <anchor moveWithCells="1">
              <from>
                <xdr:col>4</xdr:col>
                <xdr:colOff>28575</xdr:colOff>
                <xdr:row>211</xdr:row>
                <xdr:rowOff>123825</xdr:rowOff>
              </from>
              <to>
                <xdr:col>5</xdr:col>
                <xdr:colOff>647700</xdr:colOff>
                <xdr:row>213</xdr:row>
                <xdr:rowOff>0</xdr:rowOff>
              </to>
            </anchor>
          </objectPr>
        </oleObject>
      </mc:Choice>
      <mc:Fallback>
        <oleObject progId="Equation.3" shapeId="1032" r:id="rId16"/>
      </mc:Fallback>
    </mc:AlternateContent>
    <mc:AlternateContent xmlns:mc="http://schemas.openxmlformats.org/markup-compatibility/2006">
      <mc:Choice Requires="x14">
        <oleObject progId="Equation.3" shapeId="1033" r:id="rId17">
          <objectPr defaultSize="0" autoPict="0" r:id="rId18">
            <anchor moveWithCells="1">
              <from>
                <xdr:col>4</xdr:col>
                <xdr:colOff>28575</xdr:colOff>
                <xdr:row>213</xdr:row>
                <xdr:rowOff>28575</xdr:rowOff>
              </from>
              <to>
                <xdr:col>5</xdr:col>
                <xdr:colOff>676275</xdr:colOff>
                <xdr:row>214</xdr:row>
                <xdr:rowOff>19050</xdr:rowOff>
              </to>
            </anchor>
          </objectPr>
        </oleObject>
      </mc:Choice>
      <mc:Fallback>
        <oleObject progId="Equation.3" shapeId="1033" r:id="rId17"/>
      </mc:Fallback>
    </mc:AlternateContent>
    <mc:AlternateContent xmlns:mc="http://schemas.openxmlformats.org/markup-compatibility/2006">
      <mc:Choice Requires="x14">
        <oleObject progId="Equation.3" shapeId="1034" r:id="rId19">
          <objectPr defaultSize="0" autoPict="0" r:id="rId20">
            <anchor moveWithCells="1">
              <from>
                <xdr:col>7</xdr:col>
                <xdr:colOff>133350</xdr:colOff>
                <xdr:row>264</xdr:row>
                <xdr:rowOff>0</xdr:rowOff>
              </from>
              <to>
                <xdr:col>11</xdr:col>
                <xdr:colOff>619125</xdr:colOff>
                <xdr:row>275</xdr:row>
                <xdr:rowOff>228600</xdr:rowOff>
              </to>
            </anchor>
          </objectPr>
        </oleObject>
      </mc:Choice>
      <mc:Fallback>
        <oleObject progId="Equation.3" shapeId="1034" r:id="rId19"/>
      </mc:Fallback>
    </mc:AlternateContent>
    <mc:AlternateContent xmlns:mc="http://schemas.openxmlformats.org/markup-compatibility/2006">
      <mc:Choice Requires="x14">
        <oleObject progId="Equation.3" shapeId="1035" r:id="rId21">
          <objectPr defaultSize="0" autoPict="0" r:id="rId22">
            <anchor moveWithCells="1">
              <from>
                <xdr:col>8</xdr:col>
                <xdr:colOff>133350</xdr:colOff>
                <xdr:row>390</xdr:row>
                <xdr:rowOff>95250</xdr:rowOff>
              </from>
              <to>
                <xdr:col>12</xdr:col>
                <xdr:colOff>752475</xdr:colOff>
                <xdr:row>399</xdr:row>
                <xdr:rowOff>47625</xdr:rowOff>
              </to>
            </anchor>
          </objectPr>
        </oleObject>
      </mc:Choice>
      <mc:Fallback>
        <oleObject progId="Equation.3" shapeId="1035" r:id="rId21"/>
      </mc:Fallback>
    </mc:AlternateContent>
    <mc:AlternateContent xmlns:mc="http://schemas.openxmlformats.org/markup-compatibility/2006">
      <mc:Choice Requires="x14">
        <oleObject progId="Equation.3" shapeId="1036" r:id="rId23">
          <objectPr defaultSize="0" autoPict="0" r:id="rId22">
            <anchor moveWithCells="1">
              <from>
                <xdr:col>7</xdr:col>
                <xdr:colOff>352425</xdr:colOff>
                <xdr:row>187</xdr:row>
                <xdr:rowOff>9525</xdr:rowOff>
              </from>
              <to>
                <xdr:col>12</xdr:col>
                <xdr:colOff>76200</xdr:colOff>
                <xdr:row>191</xdr:row>
                <xdr:rowOff>161925</xdr:rowOff>
              </to>
            </anchor>
          </objectPr>
        </oleObject>
      </mc:Choice>
      <mc:Fallback>
        <oleObject progId="Equation.3" shapeId="1036" r:id="rId23"/>
      </mc:Fallback>
    </mc:AlternateContent>
    <mc:AlternateContent xmlns:mc="http://schemas.openxmlformats.org/markup-compatibility/2006">
      <mc:Choice Requires="x14">
        <oleObject progId="Equation.3" shapeId="1038" r:id="rId24">
          <objectPr defaultSize="0" autoPict="0" r:id="rId6">
            <anchor moveWithCells="1">
              <from>
                <xdr:col>2</xdr:col>
                <xdr:colOff>704850</xdr:colOff>
                <xdr:row>420</xdr:row>
                <xdr:rowOff>133350</xdr:rowOff>
              </from>
              <to>
                <xdr:col>4</xdr:col>
                <xdr:colOff>561975</xdr:colOff>
                <xdr:row>422</xdr:row>
                <xdr:rowOff>0</xdr:rowOff>
              </to>
            </anchor>
          </objectPr>
        </oleObject>
      </mc:Choice>
      <mc:Fallback>
        <oleObject progId="Equation.3" shapeId="1038" r:id="rId24"/>
      </mc:Fallback>
    </mc:AlternateContent>
    <mc:AlternateContent xmlns:mc="http://schemas.openxmlformats.org/markup-compatibility/2006">
      <mc:Choice Requires="x14">
        <oleObject progId="Equation.3" shapeId="1039" r:id="rId25">
          <objectPr defaultSize="0" autoPict="0" r:id="rId12">
            <anchor moveWithCells="1">
              <from>
                <xdr:col>2</xdr:col>
                <xdr:colOff>676275</xdr:colOff>
                <xdr:row>422</xdr:row>
                <xdr:rowOff>19050</xdr:rowOff>
              </from>
              <to>
                <xdr:col>4</xdr:col>
                <xdr:colOff>561975</xdr:colOff>
                <xdr:row>423</xdr:row>
                <xdr:rowOff>9525</xdr:rowOff>
              </to>
            </anchor>
          </objectPr>
        </oleObject>
      </mc:Choice>
      <mc:Fallback>
        <oleObject progId="Equation.3" shapeId="1039" r:id="rId25"/>
      </mc:Fallback>
    </mc:AlternateContent>
    <mc:AlternateContent xmlns:mc="http://schemas.openxmlformats.org/markup-compatibility/2006">
      <mc:Choice Requires="x14">
        <oleObject progId="Equation.3" shapeId="1040" r:id="rId26">
          <objectPr defaultSize="0" autoPict="0" r:id="rId6">
            <anchor moveWithCells="1">
              <from>
                <xdr:col>4</xdr:col>
                <xdr:colOff>542925</xdr:colOff>
                <xdr:row>456</xdr:row>
                <xdr:rowOff>123825</xdr:rowOff>
              </from>
              <to>
                <xdr:col>6</xdr:col>
                <xdr:colOff>400050</xdr:colOff>
                <xdr:row>458</xdr:row>
                <xdr:rowOff>0</xdr:rowOff>
              </to>
            </anchor>
          </objectPr>
        </oleObject>
      </mc:Choice>
      <mc:Fallback>
        <oleObject progId="Equation.3" shapeId="1040" r:id="rId26"/>
      </mc:Fallback>
    </mc:AlternateContent>
    <mc:AlternateContent xmlns:mc="http://schemas.openxmlformats.org/markup-compatibility/2006">
      <mc:Choice Requires="x14">
        <oleObject progId="Equation.3" shapeId="1041" r:id="rId27">
          <objectPr defaultSize="0" autoPict="0" r:id="rId15">
            <anchor moveWithCells="1">
              <from>
                <xdr:col>4</xdr:col>
                <xdr:colOff>571500</xdr:colOff>
                <xdr:row>458</xdr:row>
                <xdr:rowOff>19050</xdr:rowOff>
              </from>
              <to>
                <xdr:col>6</xdr:col>
                <xdr:colOff>457200</xdr:colOff>
                <xdr:row>459</xdr:row>
                <xdr:rowOff>9525</xdr:rowOff>
              </to>
            </anchor>
          </objectPr>
        </oleObject>
      </mc:Choice>
      <mc:Fallback>
        <oleObject progId="Equation.3" shapeId="1041" r:id="rId27"/>
      </mc:Fallback>
    </mc:AlternateContent>
    <mc:AlternateContent xmlns:mc="http://schemas.openxmlformats.org/markup-compatibility/2006">
      <mc:Choice Requires="x14">
        <oleObject progId="Equation.3" shapeId="1042" r:id="rId28">
          <objectPr defaultSize="0" autoPict="0" r:id="rId6">
            <anchor moveWithCells="1">
              <from>
                <xdr:col>4</xdr:col>
                <xdr:colOff>28575</xdr:colOff>
                <xdr:row>537</xdr:row>
                <xdr:rowOff>123825</xdr:rowOff>
              </from>
              <to>
                <xdr:col>5</xdr:col>
                <xdr:colOff>647700</xdr:colOff>
                <xdr:row>539</xdr:row>
                <xdr:rowOff>0</xdr:rowOff>
              </to>
            </anchor>
          </objectPr>
        </oleObject>
      </mc:Choice>
      <mc:Fallback>
        <oleObject progId="Equation.3" shapeId="1042" r:id="rId28"/>
      </mc:Fallback>
    </mc:AlternateContent>
    <mc:AlternateContent xmlns:mc="http://schemas.openxmlformats.org/markup-compatibility/2006">
      <mc:Choice Requires="x14">
        <oleObject progId="Equation.3" shapeId="1043" r:id="rId29">
          <objectPr defaultSize="0" autoPict="0" r:id="rId18">
            <anchor moveWithCells="1">
              <from>
                <xdr:col>4</xdr:col>
                <xdr:colOff>28575</xdr:colOff>
                <xdr:row>539</xdr:row>
                <xdr:rowOff>28575</xdr:rowOff>
              </from>
              <to>
                <xdr:col>5</xdr:col>
                <xdr:colOff>676275</xdr:colOff>
                <xdr:row>540</xdr:row>
                <xdr:rowOff>19050</xdr:rowOff>
              </to>
            </anchor>
          </objectPr>
        </oleObject>
      </mc:Choice>
      <mc:Fallback>
        <oleObject progId="Equation.3" shapeId="1043" r:id="rId29"/>
      </mc:Fallback>
    </mc:AlternateContent>
    <mc:AlternateContent xmlns:mc="http://schemas.openxmlformats.org/markup-compatibility/2006">
      <mc:Choice Requires="x14">
        <oleObject progId="Equation.3" shapeId="1044" r:id="rId30">
          <objectPr defaultSize="0" autoPict="0" r:id="rId31">
            <anchor moveWithCells="1">
              <from>
                <xdr:col>7</xdr:col>
                <xdr:colOff>133350</xdr:colOff>
                <xdr:row>441</xdr:row>
                <xdr:rowOff>142875</xdr:rowOff>
              </from>
              <to>
                <xdr:col>11</xdr:col>
                <xdr:colOff>581025</xdr:colOff>
                <xdr:row>445</xdr:row>
                <xdr:rowOff>66675</xdr:rowOff>
              </to>
            </anchor>
          </objectPr>
        </oleObject>
      </mc:Choice>
      <mc:Fallback>
        <oleObject progId="Equation.3" shapeId="1044" r:id="rId30"/>
      </mc:Fallback>
    </mc:AlternateContent>
    <mc:AlternateContent xmlns:mc="http://schemas.openxmlformats.org/markup-compatibility/2006">
      <mc:Choice Requires="x14">
        <oleObject progId="Equation.3" shapeId="1045" r:id="rId32">
          <objectPr defaultSize="0" autoPict="0" r:id="rId33">
            <anchor moveWithCells="1">
              <from>
                <xdr:col>7</xdr:col>
                <xdr:colOff>133350</xdr:colOff>
                <xdr:row>499</xdr:row>
                <xdr:rowOff>142875</xdr:rowOff>
              </from>
              <to>
                <xdr:col>11</xdr:col>
                <xdr:colOff>581025</xdr:colOff>
                <xdr:row>503</xdr:row>
                <xdr:rowOff>57150</xdr:rowOff>
              </to>
            </anchor>
          </objectPr>
        </oleObject>
      </mc:Choice>
      <mc:Fallback>
        <oleObject progId="Equation.3" shapeId="1045" r:id="rId32"/>
      </mc:Fallback>
    </mc:AlternateContent>
    <mc:AlternateContent xmlns:mc="http://schemas.openxmlformats.org/markup-compatibility/2006">
      <mc:Choice Requires="x14">
        <oleObject progId="Equation.3" shapeId="1046" r:id="rId34">
          <objectPr defaultSize="0" autoPict="0" r:id="rId33">
            <anchor moveWithCells="1">
              <from>
                <xdr:col>7</xdr:col>
                <xdr:colOff>133350</xdr:colOff>
                <xdr:row>582</xdr:row>
                <xdr:rowOff>0</xdr:rowOff>
              </from>
              <to>
                <xdr:col>11</xdr:col>
                <xdr:colOff>581025</xdr:colOff>
                <xdr:row>594</xdr:row>
                <xdr:rowOff>0</xdr:rowOff>
              </to>
            </anchor>
          </objectPr>
        </oleObject>
      </mc:Choice>
      <mc:Fallback>
        <oleObject progId="Equation.3" shapeId="1046" r:id="rId34"/>
      </mc:Fallback>
    </mc:AlternateContent>
    <mc:AlternateContent xmlns:mc="http://schemas.openxmlformats.org/markup-compatibility/2006">
      <mc:Choice Requires="x14">
        <oleObject progId="Equation.3" shapeId="1047" r:id="rId35">
          <objectPr defaultSize="0" autoPict="0" r:id="rId33">
            <anchor moveWithCells="1">
              <from>
                <xdr:col>7</xdr:col>
                <xdr:colOff>133350</xdr:colOff>
                <xdr:row>615</xdr:row>
                <xdr:rowOff>142875</xdr:rowOff>
              </from>
              <to>
                <xdr:col>11</xdr:col>
                <xdr:colOff>581025</xdr:colOff>
                <xdr:row>623</xdr:row>
                <xdr:rowOff>66675</xdr:rowOff>
              </to>
            </anchor>
          </objectPr>
        </oleObject>
      </mc:Choice>
      <mc:Fallback>
        <oleObject progId="Equation.3" shapeId="1047" r:id="rId35"/>
      </mc:Fallback>
    </mc:AlternateContent>
    <mc:AlternateContent xmlns:mc="http://schemas.openxmlformats.org/markup-compatibility/2006">
      <mc:Choice Requires="x14">
        <oleObject progId="Equation.3" shapeId="1048" r:id="rId36">
          <objectPr defaultSize="0" autoPict="0" r:id="rId6">
            <anchor moveWithCells="1">
              <from>
                <xdr:col>2</xdr:col>
                <xdr:colOff>704850</xdr:colOff>
                <xdr:row>632</xdr:row>
                <xdr:rowOff>133350</xdr:rowOff>
              </from>
              <to>
                <xdr:col>4</xdr:col>
                <xdr:colOff>561975</xdr:colOff>
                <xdr:row>634</xdr:row>
                <xdr:rowOff>0</xdr:rowOff>
              </to>
            </anchor>
          </objectPr>
        </oleObject>
      </mc:Choice>
      <mc:Fallback>
        <oleObject progId="Equation.3" shapeId="1048" r:id="rId36"/>
      </mc:Fallback>
    </mc:AlternateContent>
    <mc:AlternateContent xmlns:mc="http://schemas.openxmlformats.org/markup-compatibility/2006">
      <mc:Choice Requires="x14">
        <oleObject progId="Equation.3" shapeId="1049" r:id="rId37">
          <objectPr defaultSize="0" autoPict="0" r:id="rId12">
            <anchor moveWithCells="1">
              <from>
                <xdr:col>2</xdr:col>
                <xdr:colOff>676275</xdr:colOff>
                <xdr:row>634</xdr:row>
                <xdr:rowOff>19050</xdr:rowOff>
              </from>
              <to>
                <xdr:col>4</xdr:col>
                <xdr:colOff>561975</xdr:colOff>
                <xdr:row>635</xdr:row>
                <xdr:rowOff>9525</xdr:rowOff>
              </to>
            </anchor>
          </objectPr>
        </oleObject>
      </mc:Choice>
      <mc:Fallback>
        <oleObject progId="Equation.3" shapeId="1049" r:id="rId37"/>
      </mc:Fallback>
    </mc:AlternateContent>
    <mc:AlternateContent xmlns:mc="http://schemas.openxmlformats.org/markup-compatibility/2006">
      <mc:Choice Requires="x14">
        <oleObject progId="Equation.3" shapeId="1050" r:id="rId38">
          <objectPr defaultSize="0" autoPict="0" r:id="rId6">
            <anchor moveWithCells="1">
              <from>
                <xdr:col>4</xdr:col>
                <xdr:colOff>542925</xdr:colOff>
                <xdr:row>679</xdr:row>
                <xdr:rowOff>123825</xdr:rowOff>
              </from>
              <to>
                <xdr:col>6</xdr:col>
                <xdr:colOff>400050</xdr:colOff>
                <xdr:row>681</xdr:row>
                <xdr:rowOff>0</xdr:rowOff>
              </to>
            </anchor>
          </objectPr>
        </oleObject>
      </mc:Choice>
      <mc:Fallback>
        <oleObject progId="Equation.3" shapeId="1050" r:id="rId38"/>
      </mc:Fallback>
    </mc:AlternateContent>
    <mc:AlternateContent xmlns:mc="http://schemas.openxmlformats.org/markup-compatibility/2006">
      <mc:Choice Requires="x14">
        <oleObject progId="Equation.3" shapeId="1051" r:id="rId39">
          <objectPr defaultSize="0" autoPict="0" r:id="rId15">
            <anchor moveWithCells="1">
              <from>
                <xdr:col>4</xdr:col>
                <xdr:colOff>571500</xdr:colOff>
                <xdr:row>681</xdr:row>
                <xdr:rowOff>19050</xdr:rowOff>
              </from>
              <to>
                <xdr:col>6</xdr:col>
                <xdr:colOff>457200</xdr:colOff>
                <xdr:row>682</xdr:row>
                <xdr:rowOff>9525</xdr:rowOff>
              </to>
            </anchor>
          </objectPr>
        </oleObject>
      </mc:Choice>
      <mc:Fallback>
        <oleObject progId="Equation.3" shapeId="1051" r:id="rId39"/>
      </mc:Fallback>
    </mc:AlternateContent>
    <mc:AlternateContent xmlns:mc="http://schemas.openxmlformats.org/markup-compatibility/2006">
      <mc:Choice Requires="x14">
        <oleObject progId="Equation.3" shapeId="1052" r:id="rId40">
          <objectPr defaultSize="0" autoPict="0" r:id="rId6">
            <anchor moveWithCells="1">
              <from>
                <xdr:col>4</xdr:col>
                <xdr:colOff>28575</xdr:colOff>
                <xdr:row>829</xdr:row>
                <xdr:rowOff>123825</xdr:rowOff>
              </from>
              <to>
                <xdr:col>5</xdr:col>
                <xdr:colOff>647700</xdr:colOff>
                <xdr:row>831</xdr:row>
                <xdr:rowOff>0</xdr:rowOff>
              </to>
            </anchor>
          </objectPr>
        </oleObject>
      </mc:Choice>
      <mc:Fallback>
        <oleObject progId="Equation.3" shapeId="1052" r:id="rId40"/>
      </mc:Fallback>
    </mc:AlternateContent>
    <mc:AlternateContent xmlns:mc="http://schemas.openxmlformats.org/markup-compatibility/2006">
      <mc:Choice Requires="x14">
        <oleObject progId="Equation.3" shapeId="1053" r:id="rId41">
          <objectPr defaultSize="0" autoPict="0" r:id="rId18">
            <anchor moveWithCells="1">
              <from>
                <xdr:col>4</xdr:col>
                <xdr:colOff>28575</xdr:colOff>
                <xdr:row>831</xdr:row>
                <xdr:rowOff>28575</xdr:rowOff>
              </from>
              <to>
                <xdr:col>5</xdr:col>
                <xdr:colOff>676275</xdr:colOff>
                <xdr:row>832</xdr:row>
                <xdr:rowOff>19050</xdr:rowOff>
              </to>
            </anchor>
          </objectPr>
        </oleObject>
      </mc:Choice>
      <mc:Fallback>
        <oleObject progId="Equation.3" shapeId="1053" r:id="rId41"/>
      </mc:Fallback>
    </mc:AlternateContent>
    <mc:AlternateContent xmlns:mc="http://schemas.openxmlformats.org/markup-compatibility/2006">
      <mc:Choice Requires="x14">
        <oleObject progId="Equation.3" shapeId="1054" r:id="rId42">
          <objectPr defaultSize="0" autoPict="0" r:id="rId6">
            <anchor moveWithCells="1">
              <from>
                <xdr:col>2</xdr:col>
                <xdr:colOff>704850</xdr:colOff>
                <xdr:row>98</xdr:row>
                <xdr:rowOff>133350</xdr:rowOff>
              </from>
              <to>
                <xdr:col>4</xdr:col>
                <xdr:colOff>561975</xdr:colOff>
                <xdr:row>100</xdr:row>
                <xdr:rowOff>0</xdr:rowOff>
              </to>
            </anchor>
          </objectPr>
        </oleObject>
      </mc:Choice>
      <mc:Fallback>
        <oleObject progId="Equation.3" shapeId="1054" r:id="rId42"/>
      </mc:Fallback>
    </mc:AlternateContent>
    <mc:AlternateContent xmlns:mc="http://schemas.openxmlformats.org/markup-compatibility/2006">
      <mc:Choice Requires="x14">
        <oleObject progId="Equation.3" shapeId="1056" r:id="rId43">
          <objectPr defaultSize="0" autoPict="0" r:id="rId10">
            <anchor moveWithCells="1">
              <from>
                <xdr:col>4</xdr:col>
                <xdr:colOff>676275</xdr:colOff>
                <xdr:row>88</xdr:row>
                <xdr:rowOff>142875</xdr:rowOff>
              </from>
              <to>
                <xdr:col>9</xdr:col>
                <xdr:colOff>552450</xdr:colOff>
                <xdr:row>90</xdr:row>
                <xdr:rowOff>19050</xdr:rowOff>
              </to>
            </anchor>
          </objectPr>
        </oleObject>
      </mc:Choice>
      <mc:Fallback>
        <oleObject progId="Equation.3" shapeId="1056" r:id="rId43"/>
      </mc:Fallback>
    </mc:AlternateContent>
    <mc:AlternateContent xmlns:mc="http://schemas.openxmlformats.org/markup-compatibility/2006">
      <mc:Choice Requires="x14">
        <oleObject progId="Equation.3" shapeId="1057" r:id="rId44">
          <objectPr defaultSize="0" autoPict="0" r:id="rId12">
            <anchor moveWithCells="1">
              <from>
                <xdr:col>2</xdr:col>
                <xdr:colOff>676275</xdr:colOff>
                <xdr:row>100</xdr:row>
                <xdr:rowOff>19050</xdr:rowOff>
              </from>
              <to>
                <xdr:col>4</xdr:col>
                <xdr:colOff>561975</xdr:colOff>
                <xdr:row>101</xdr:row>
                <xdr:rowOff>9525</xdr:rowOff>
              </to>
            </anchor>
          </objectPr>
        </oleObject>
      </mc:Choice>
      <mc:Fallback>
        <oleObject progId="Equation.3" shapeId="1057" r:id="rId44"/>
      </mc:Fallback>
    </mc:AlternateContent>
    <mc:AlternateContent xmlns:mc="http://schemas.openxmlformats.org/markup-compatibility/2006">
      <mc:Choice Requires="x14">
        <oleObject progId="Equation.3" shapeId="1058" r:id="rId45">
          <objectPr defaultSize="0" autoPict="0" r:id="rId6">
            <anchor moveWithCells="1">
              <from>
                <xdr:col>4</xdr:col>
                <xdr:colOff>542925</xdr:colOff>
                <xdr:row>142</xdr:row>
                <xdr:rowOff>123825</xdr:rowOff>
              </from>
              <to>
                <xdr:col>6</xdr:col>
                <xdr:colOff>400050</xdr:colOff>
                <xdr:row>144</xdr:row>
                <xdr:rowOff>0</xdr:rowOff>
              </to>
            </anchor>
          </objectPr>
        </oleObject>
      </mc:Choice>
      <mc:Fallback>
        <oleObject progId="Equation.3" shapeId="1058" r:id="rId45"/>
      </mc:Fallback>
    </mc:AlternateContent>
    <mc:AlternateContent xmlns:mc="http://schemas.openxmlformats.org/markup-compatibility/2006">
      <mc:Choice Requires="x14">
        <oleObject progId="Equation.3" shapeId="1059" r:id="rId46">
          <objectPr defaultSize="0" autoPict="0" r:id="rId15">
            <anchor moveWithCells="1">
              <from>
                <xdr:col>4</xdr:col>
                <xdr:colOff>571500</xdr:colOff>
                <xdr:row>144</xdr:row>
                <xdr:rowOff>19050</xdr:rowOff>
              </from>
              <to>
                <xdr:col>6</xdr:col>
                <xdr:colOff>457200</xdr:colOff>
                <xdr:row>145</xdr:row>
                <xdr:rowOff>9525</xdr:rowOff>
              </to>
            </anchor>
          </objectPr>
        </oleObject>
      </mc:Choice>
      <mc:Fallback>
        <oleObject progId="Equation.3" shapeId="1059" r:id="rId46"/>
      </mc:Fallback>
    </mc:AlternateContent>
    <mc:AlternateContent xmlns:mc="http://schemas.openxmlformats.org/markup-compatibility/2006">
      <mc:Choice Requires="x14">
        <oleObject progId="Equation.3" shapeId="1060" r:id="rId47">
          <objectPr defaultSize="0" autoPict="0" r:id="rId6">
            <anchor moveWithCells="1">
              <from>
                <xdr:col>4</xdr:col>
                <xdr:colOff>28575</xdr:colOff>
                <xdr:row>211</xdr:row>
                <xdr:rowOff>123825</xdr:rowOff>
              </from>
              <to>
                <xdr:col>5</xdr:col>
                <xdr:colOff>647700</xdr:colOff>
                <xdr:row>213</xdr:row>
                <xdr:rowOff>0</xdr:rowOff>
              </to>
            </anchor>
          </objectPr>
        </oleObject>
      </mc:Choice>
      <mc:Fallback>
        <oleObject progId="Equation.3" shapeId="1060" r:id="rId47"/>
      </mc:Fallback>
    </mc:AlternateContent>
    <mc:AlternateContent xmlns:mc="http://schemas.openxmlformats.org/markup-compatibility/2006">
      <mc:Choice Requires="x14">
        <oleObject progId="Equation.3" shapeId="1061" r:id="rId48">
          <objectPr defaultSize="0" autoPict="0" r:id="rId18">
            <anchor moveWithCells="1">
              <from>
                <xdr:col>4</xdr:col>
                <xdr:colOff>28575</xdr:colOff>
                <xdr:row>213</xdr:row>
                <xdr:rowOff>28575</xdr:rowOff>
              </from>
              <to>
                <xdr:col>5</xdr:col>
                <xdr:colOff>676275</xdr:colOff>
                <xdr:row>214</xdr:row>
                <xdr:rowOff>19050</xdr:rowOff>
              </to>
            </anchor>
          </objectPr>
        </oleObject>
      </mc:Choice>
      <mc:Fallback>
        <oleObject progId="Equation.3" shapeId="1061" r:id="rId48"/>
      </mc:Fallback>
    </mc:AlternateContent>
    <mc:AlternateContent xmlns:mc="http://schemas.openxmlformats.org/markup-compatibility/2006">
      <mc:Choice Requires="x14">
        <oleObject progId="Equation.3" shapeId="1062" r:id="rId49">
          <objectPr defaultSize="0" autoPict="0" r:id="rId20">
            <anchor moveWithCells="1">
              <from>
                <xdr:col>7</xdr:col>
                <xdr:colOff>133350</xdr:colOff>
                <xdr:row>264</xdr:row>
                <xdr:rowOff>0</xdr:rowOff>
              </from>
              <to>
                <xdr:col>11</xdr:col>
                <xdr:colOff>619125</xdr:colOff>
                <xdr:row>275</xdr:row>
                <xdr:rowOff>228600</xdr:rowOff>
              </to>
            </anchor>
          </objectPr>
        </oleObject>
      </mc:Choice>
      <mc:Fallback>
        <oleObject progId="Equation.3" shapeId="1062" r:id="rId49"/>
      </mc:Fallback>
    </mc:AlternateContent>
    <mc:AlternateContent xmlns:mc="http://schemas.openxmlformats.org/markup-compatibility/2006">
      <mc:Choice Requires="x14">
        <oleObject progId="Equation.3" shapeId="1063" r:id="rId50">
          <objectPr defaultSize="0" autoPict="0" r:id="rId22">
            <anchor moveWithCells="1">
              <from>
                <xdr:col>8</xdr:col>
                <xdr:colOff>133350</xdr:colOff>
                <xdr:row>390</xdr:row>
                <xdr:rowOff>95250</xdr:rowOff>
              </from>
              <to>
                <xdr:col>12</xdr:col>
                <xdr:colOff>752475</xdr:colOff>
                <xdr:row>399</xdr:row>
                <xdr:rowOff>47625</xdr:rowOff>
              </to>
            </anchor>
          </objectPr>
        </oleObject>
      </mc:Choice>
      <mc:Fallback>
        <oleObject progId="Equation.3" shapeId="1063" r:id="rId50"/>
      </mc:Fallback>
    </mc:AlternateContent>
    <mc:AlternateContent xmlns:mc="http://schemas.openxmlformats.org/markup-compatibility/2006">
      <mc:Choice Requires="x14">
        <oleObject progId="Equation.3" shapeId="1064" r:id="rId51">
          <objectPr defaultSize="0" autoPict="0" r:id="rId22">
            <anchor moveWithCells="1">
              <from>
                <xdr:col>6</xdr:col>
                <xdr:colOff>142875</xdr:colOff>
                <xdr:row>126</xdr:row>
                <xdr:rowOff>142875</xdr:rowOff>
              </from>
              <to>
                <xdr:col>9</xdr:col>
                <xdr:colOff>514350</xdr:colOff>
                <xdr:row>129</xdr:row>
                <xdr:rowOff>219075</xdr:rowOff>
              </to>
            </anchor>
          </objectPr>
        </oleObject>
      </mc:Choice>
      <mc:Fallback>
        <oleObject progId="Equation.3" shapeId="1064" r:id="rId51"/>
      </mc:Fallback>
    </mc:AlternateContent>
    <mc:AlternateContent xmlns:mc="http://schemas.openxmlformats.org/markup-compatibility/2006">
      <mc:Choice Requires="x14">
        <oleObject progId="Equation.3" shapeId="1065" r:id="rId52">
          <objectPr defaultSize="0" autoPict="0" r:id="rId6">
            <anchor moveWithCells="1">
              <from>
                <xdr:col>2</xdr:col>
                <xdr:colOff>704850</xdr:colOff>
                <xdr:row>420</xdr:row>
                <xdr:rowOff>133350</xdr:rowOff>
              </from>
              <to>
                <xdr:col>4</xdr:col>
                <xdr:colOff>561975</xdr:colOff>
                <xdr:row>422</xdr:row>
                <xdr:rowOff>0</xdr:rowOff>
              </to>
            </anchor>
          </objectPr>
        </oleObject>
      </mc:Choice>
      <mc:Fallback>
        <oleObject progId="Equation.3" shapeId="1065" r:id="rId52"/>
      </mc:Fallback>
    </mc:AlternateContent>
    <mc:AlternateContent xmlns:mc="http://schemas.openxmlformats.org/markup-compatibility/2006">
      <mc:Choice Requires="x14">
        <oleObject progId="Equation.3" shapeId="1066" r:id="rId53">
          <objectPr defaultSize="0" autoPict="0" r:id="rId12">
            <anchor moveWithCells="1">
              <from>
                <xdr:col>2</xdr:col>
                <xdr:colOff>676275</xdr:colOff>
                <xdr:row>422</xdr:row>
                <xdr:rowOff>19050</xdr:rowOff>
              </from>
              <to>
                <xdr:col>4</xdr:col>
                <xdr:colOff>561975</xdr:colOff>
                <xdr:row>423</xdr:row>
                <xdr:rowOff>9525</xdr:rowOff>
              </to>
            </anchor>
          </objectPr>
        </oleObject>
      </mc:Choice>
      <mc:Fallback>
        <oleObject progId="Equation.3" shapeId="1066" r:id="rId53"/>
      </mc:Fallback>
    </mc:AlternateContent>
    <mc:AlternateContent xmlns:mc="http://schemas.openxmlformats.org/markup-compatibility/2006">
      <mc:Choice Requires="x14">
        <oleObject progId="Equation.3" shapeId="1067" r:id="rId54">
          <objectPr defaultSize="0" autoPict="0" r:id="rId6">
            <anchor moveWithCells="1">
              <from>
                <xdr:col>4</xdr:col>
                <xdr:colOff>542925</xdr:colOff>
                <xdr:row>456</xdr:row>
                <xdr:rowOff>123825</xdr:rowOff>
              </from>
              <to>
                <xdr:col>6</xdr:col>
                <xdr:colOff>400050</xdr:colOff>
                <xdr:row>458</xdr:row>
                <xdr:rowOff>0</xdr:rowOff>
              </to>
            </anchor>
          </objectPr>
        </oleObject>
      </mc:Choice>
      <mc:Fallback>
        <oleObject progId="Equation.3" shapeId="1067" r:id="rId54"/>
      </mc:Fallback>
    </mc:AlternateContent>
    <mc:AlternateContent xmlns:mc="http://schemas.openxmlformats.org/markup-compatibility/2006">
      <mc:Choice Requires="x14">
        <oleObject progId="Equation.3" shapeId="1068" r:id="rId55">
          <objectPr defaultSize="0" autoPict="0" r:id="rId15">
            <anchor moveWithCells="1">
              <from>
                <xdr:col>4</xdr:col>
                <xdr:colOff>571500</xdr:colOff>
                <xdr:row>458</xdr:row>
                <xdr:rowOff>19050</xdr:rowOff>
              </from>
              <to>
                <xdr:col>6</xdr:col>
                <xdr:colOff>457200</xdr:colOff>
                <xdr:row>459</xdr:row>
                <xdr:rowOff>9525</xdr:rowOff>
              </to>
            </anchor>
          </objectPr>
        </oleObject>
      </mc:Choice>
      <mc:Fallback>
        <oleObject progId="Equation.3" shapeId="1068" r:id="rId55"/>
      </mc:Fallback>
    </mc:AlternateContent>
    <mc:AlternateContent xmlns:mc="http://schemas.openxmlformats.org/markup-compatibility/2006">
      <mc:Choice Requires="x14">
        <oleObject progId="Equation.3" shapeId="1069" r:id="rId56">
          <objectPr defaultSize="0" autoPict="0" r:id="rId6">
            <anchor moveWithCells="1">
              <from>
                <xdr:col>4</xdr:col>
                <xdr:colOff>28575</xdr:colOff>
                <xdr:row>537</xdr:row>
                <xdr:rowOff>123825</xdr:rowOff>
              </from>
              <to>
                <xdr:col>5</xdr:col>
                <xdr:colOff>647700</xdr:colOff>
                <xdr:row>539</xdr:row>
                <xdr:rowOff>0</xdr:rowOff>
              </to>
            </anchor>
          </objectPr>
        </oleObject>
      </mc:Choice>
      <mc:Fallback>
        <oleObject progId="Equation.3" shapeId="1069" r:id="rId56"/>
      </mc:Fallback>
    </mc:AlternateContent>
    <mc:AlternateContent xmlns:mc="http://schemas.openxmlformats.org/markup-compatibility/2006">
      <mc:Choice Requires="x14">
        <oleObject progId="Equation.3" shapeId="1070" r:id="rId57">
          <objectPr defaultSize="0" autoPict="0" r:id="rId18">
            <anchor moveWithCells="1">
              <from>
                <xdr:col>4</xdr:col>
                <xdr:colOff>28575</xdr:colOff>
                <xdr:row>539</xdr:row>
                <xdr:rowOff>28575</xdr:rowOff>
              </from>
              <to>
                <xdr:col>5</xdr:col>
                <xdr:colOff>676275</xdr:colOff>
                <xdr:row>540</xdr:row>
                <xdr:rowOff>19050</xdr:rowOff>
              </to>
            </anchor>
          </objectPr>
        </oleObject>
      </mc:Choice>
      <mc:Fallback>
        <oleObject progId="Equation.3" shapeId="1070" r:id="rId57"/>
      </mc:Fallback>
    </mc:AlternateContent>
    <mc:AlternateContent xmlns:mc="http://schemas.openxmlformats.org/markup-compatibility/2006">
      <mc:Choice Requires="x14">
        <oleObject progId="Equation.3" shapeId="1071" r:id="rId58">
          <objectPr defaultSize="0" autoPict="0" r:id="rId31">
            <anchor moveWithCells="1">
              <from>
                <xdr:col>7</xdr:col>
                <xdr:colOff>133350</xdr:colOff>
                <xdr:row>441</xdr:row>
                <xdr:rowOff>142875</xdr:rowOff>
              </from>
              <to>
                <xdr:col>11</xdr:col>
                <xdr:colOff>581025</xdr:colOff>
                <xdr:row>445</xdr:row>
                <xdr:rowOff>66675</xdr:rowOff>
              </to>
            </anchor>
          </objectPr>
        </oleObject>
      </mc:Choice>
      <mc:Fallback>
        <oleObject progId="Equation.3" shapeId="1071" r:id="rId58"/>
      </mc:Fallback>
    </mc:AlternateContent>
    <mc:AlternateContent xmlns:mc="http://schemas.openxmlformats.org/markup-compatibility/2006">
      <mc:Choice Requires="x14">
        <oleObject progId="Equation.3" shapeId="1072" r:id="rId59">
          <objectPr defaultSize="0" autoPict="0" r:id="rId33">
            <anchor moveWithCells="1">
              <from>
                <xdr:col>7</xdr:col>
                <xdr:colOff>133350</xdr:colOff>
                <xdr:row>499</xdr:row>
                <xdr:rowOff>142875</xdr:rowOff>
              </from>
              <to>
                <xdr:col>11</xdr:col>
                <xdr:colOff>581025</xdr:colOff>
                <xdr:row>503</xdr:row>
                <xdr:rowOff>57150</xdr:rowOff>
              </to>
            </anchor>
          </objectPr>
        </oleObject>
      </mc:Choice>
      <mc:Fallback>
        <oleObject progId="Equation.3" shapeId="1072" r:id="rId59"/>
      </mc:Fallback>
    </mc:AlternateContent>
    <mc:AlternateContent xmlns:mc="http://schemas.openxmlformats.org/markup-compatibility/2006">
      <mc:Choice Requires="x14">
        <oleObject progId="Equation.3" shapeId="1073" r:id="rId60">
          <objectPr defaultSize="0" autoPict="0" r:id="rId33">
            <anchor moveWithCells="1">
              <from>
                <xdr:col>7</xdr:col>
                <xdr:colOff>133350</xdr:colOff>
                <xdr:row>582</xdr:row>
                <xdr:rowOff>0</xdr:rowOff>
              </from>
              <to>
                <xdr:col>11</xdr:col>
                <xdr:colOff>581025</xdr:colOff>
                <xdr:row>594</xdr:row>
                <xdr:rowOff>0</xdr:rowOff>
              </to>
            </anchor>
          </objectPr>
        </oleObject>
      </mc:Choice>
      <mc:Fallback>
        <oleObject progId="Equation.3" shapeId="1073" r:id="rId60"/>
      </mc:Fallback>
    </mc:AlternateContent>
    <mc:AlternateContent xmlns:mc="http://schemas.openxmlformats.org/markup-compatibility/2006">
      <mc:Choice Requires="x14">
        <oleObject progId="Equation.3" shapeId="1074" r:id="rId61">
          <objectPr defaultSize="0" autoPict="0" r:id="rId33">
            <anchor moveWithCells="1">
              <from>
                <xdr:col>7</xdr:col>
                <xdr:colOff>133350</xdr:colOff>
                <xdr:row>615</xdr:row>
                <xdr:rowOff>142875</xdr:rowOff>
              </from>
              <to>
                <xdr:col>11</xdr:col>
                <xdr:colOff>581025</xdr:colOff>
                <xdr:row>623</xdr:row>
                <xdr:rowOff>66675</xdr:rowOff>
              </to>
            </anchor>
          </objectPr>
        </oleObject>
      </mc:Choice>
      <mc:Fallback>
        <oleObject progId="Equation.3" shapeId="1074" r:id="rId61"/>
      </mc:Fallback>
    </mc:AlternateContent>
    <mc:AlternateContent xmlns:mc="http://schemas.openxmlformats.org/markup-compatibility/2006">
      <mc:Choice Requires="x14">
        <oleObject progId="Equation.3" shapeId="1075" r:id="rId62">
          <objectPr defaultSize="0" autoPict="0" r:id="rId6">
            <anchor moveWithCells="1">
              <from>
                <xdr:col>2</xdr:col>
                <xdr:colOff>704850</xdr:colOff>
                <xdr:row>632</xdr:row>
                <xdr:rowOff>133350</xdr:rowOff>
              </from>
              <to>
                <xdr:col>4</xdr:col>
                <xdr:colOff>561975</xdr:colOff>
                <xdr:row>634</xdr:row>
                <xdr:rowOff>0</xdr:rowOff>
              </to>
            </anchor>
          </objectPr>
        </oleObject>
      </mc:Choice>
      <mc:Fallback>
        <oleObject progId="Equation.3" shapeId="1075" r:id="rId62"/>
      </mc:Fallback>
    </mc:AlternateContent>
    <mc:AlternateContent xmlns:mc="http://schemas.openxmlformats.org/markup-compatibility/2006">
      <mc:Choice Requires="x14">
        <oleObject progId="Equation.3" shapeId="1076" r:id="rId63">
          <objectPr defaultSize="0" autoPict="0" r:id="rId12">
            <anchor moveWithCells="1">
              <from>
                <xdr:col>2</xdr:col>
                <xdr:colOff>676275</xdr:colOff>
                <xdr:row>634</xdr:row>
                <xdr:rowOff>19050</xdr:rowOff>
              </from>
              <to>
                <xdr:col>4</xdr:col>
                <xdr:colOff>561975</xdr:colOff>
                <xdr:row>635</xdr:row>
                <xdr:rowOff>9525</xdr:rowOff>
              </to>
            </anchor>
          </objectPr>
        </oleObject>
      </mc:Choice>
      <mc:Fallback>
        <oleObject progId="Equation.3" shapeId="1076" r:id="rId63"/>
      </mc:Fallback>
    </mc:AlternateContent>
    <mc:AlternateContent xmlns:mc="http://schemas.openxmlformats.org/markup-compatibility/2006">
      <mc:Choice Requires="x14">
        <oleObject progId="Equation.3" shapeId="1077" r:id="rId64">
          <objectPr defaultSize="0" autoPict="0" r:id="rId6">
            <anchor moveWithCells="1">
              <from>
                <xdr:col>4</xdr:col>
                <xdr:colOff>542925</xdr:colOff>
                <xdr:row>679</xdr:row>
                <xdr:rowOff>123825</xdr:rowOff>
              </from>
              <to>
                <xdr:col>6</xdr:col>
                <xdr:colOff>400050</xdr:colOff>
                <xdr:row>681</xdr:row>
                <xdr:rowOff>0</xdr:rowOff>
              </to>
            </anchor>
          </objectPr>
        </oleObject>
      </mc:Choice>
      <mc:Fallback>
        <oleObject progId="Equation.3" shapeId="1077" r:id="rId64"/>
      </mc:Fallback>
    </mc:AlternateContent>
    <mc:AlternateContent xmlns:mc="http://schemas.openxmlformats.org/markup-compatibility/2006">
      <mc:Choice Requires="x14">
        <oleObject progId="Equation.3" shapeId="1078" r:id="rId65">
          <objectPr defaultSize="0" autoPict="0" r:id="rId15">
            <anchor moveWithCells="1">
              <from>
                <xdr:col>4</xdr:col>
                <xdr:colOff>571500</xdr:colOff>
                <xdr:row>681</xdr:row>
                <xdr:rowOff>19050</xdr:rowOff>
              </from>
              <to>
                <xdr:col>6</xdr:col>
                <xdr:colOff>457200</xdr:colOff>
                <xdr:row>682</xdr:row>
                <xdr:rowOff>9525</xdr:rowOff>
              </to>
            </anchor>
          </objectPr>
        </oleObject>
      </mc:Choice>
      <mc:Fallback>
        <oleObject progId="Equation.3" shapeId="1078" r:id="rId65"/>
      </mc:Fallback>
    </mc:AlternateContent>
    <mc:AlternateContent xmlns:mc="http://schemas.openxmlformats.org/markup-compatibility/2006">
      <mc:Choice Requires="x14">
        <oleObject progId="Equation.3" shapeId="1079" r:id="rId66">
          <objectPr defaultSize="0" autoPict="0" r:id="rId6">
            <anchor moveWithCells="1">
              <from>
                <xdr:col>4</xdr:col>
                <xdr:colOff>28575</xdr:colOff>
                <xdr:row>829</xdr:row>
                <xdr:rowOff>123825</xdr:rowOff>
              </from>
              <to>
                <xdr:col>5</xdr:col>
                <xdr:colOff>647700</xdr:colOff>
                <xdr:row>831</xdr:row>
                <xdr:rowOff>0</xdr:rowOff>
              </to>
            </anchor>
          </objectPr>
        </oleObject>
      </mc:Choice>
      <mc:Fallback>
        <oleObject progId="Equation.3" shapeId="1079" r:id="rId66"/>
      </mc:Fallback>
    </mc:AlternateContent>
    <mc:AlternateContent xmlns:mc="http://schemas.openxmlformats.org/markup-compatibility/2006">
      <mc:Choice Requires="x14">
        <oleObject progId="Equation.3" shapeId="1080" r:id="rId67">
          <objectPr defaultSize="0" autoPict="0" r:id="rId18">
            <anchor moveWithCells="1">
              <from>
                <xdr:col>4</xdr:col>
                <xdr:colOff>28575</xdr:colOff>
                <xdr:row>831</xdr:row>
                <xdr:rowOff>28575</xdr:rowOff>
              </from>
              <to>
                <xdr:col>5</xdr:col>
                <xdr:colOff>676275</xdr:colOff>
                <xdr:row>832</xdr:row>
                <xdr:rowOff>19050</xdr:rowOff>
              </to>
            </anchor>
          </objectPr>
        </oleObject>
      </mc:Choice>
      <mc:Fallback>
        <oleObject progId="Equation.3" shapeId="1080" r:id="rId67"/>
      </mc:Fallback>
    </mc:AlternateContent>
    <mc:AlternateContent xmlns:mc="http://schemas.openxmlformats.org/markup-compatibility/2006">
      <mc:Choice Requires="x14">
        <oleObject progId="Equation.3" shapeId="1176" r:id="rId68">
          <objectPr defaultSize="0" autoPict="0" r:id="rId6">
            <anchor moveWithCells="1">
              <from>
                <xdr:col>4</xdr:col>
                <xdr:colOff>28575</xdr:colOff>
                <xdr:row>289</xdr:row>
                <xdr:rowOff>123825</xdr:rowOff>
              </from>
              <to>
                <xdr:col>5</xdr:col>
                <xdr:colOff>647700</xdr:colOff>
                <xdr:row>291</xdr:row>
                <xdr:rowOff>0</xdr:rowOff>
              </to>
            </anchor>
          </objectPr>
        </oleObject>
      </mc:Choice>
      <mc:Fallback>
        <oleObject progId="Equation.3" shapeId="1176" r:id="rId68"/>
      </mc:Fallback>
    </mc:AlternateContent>
    <mc:AlternateContent xmlns:mc="http://schemas.openxmlformats.org/markup-compatibility/2006">
      <mc:Choice Requires="x14">
        <oleObject progId="Equation.3" shapeId="1177" r:id="rId69">
          <objectPr defaultSize="0" autoPict="0" r:id="rId18">
            <anchor moveWithCells="1">
              <from>
                <xdr:col>4</xdr:col>
                <xdr:colOff>28575</xdr:colOff>
                <xdr:row>291</xdr:row>
                <xdr:rowOff>28575</xdr:rowOff>
              </from>
              <to>
                <xdr:col>5</xdr:col>
                <xdr:colOff>676275</xdr:colOff>
                <xdr:row>292</xdr:row>
                <xdr:rowOff>19050</xdr:rowOff>
              </to>
            </anchor>
          </objectPr>
        </oleObject>
      </mc:Choice>
      <mc:Fallback>
        <oleObject progId="Equation.3" shapeId="1177" r:id="rId69"/>
      </mc:Fallback>
    </mc:AlternateContent>
    <mc:AlternateContent xmlns:mc="http://schemas.openxmlformats.org/markup-compatibility/2006">
      <mc:Choice Requires="x14">
        <oleObject progId="Equation.3" shapeId="1178" r:id="rId70">
          <objectPr defaultSize="0" autoPict="0" r:id="rId6">
            <anchor moveWithCells="1">
              <from>
                <xdr:col>4</xdr:col>
                <xdr:colOff>28575</xdr:colOff>
                <xdr:row>289</xdr:row>
                <xdr:rowOff>123825</xdr:rowOff>
              </from>
              <to>
                <xdr:col>5</xdr:col>
                <xdr:colOff>647700</xdr:colOff>
                <xdr:row>291</xdr:row>
                <xdr:rowOff>0</xdr:rowOff>
              </to>
            </anchor>
          </objectPr>
        </oleObject>
      </mc:Choice>
      <mc:Fallback>
        <oleObject progId="Equation.3" shapeId="1178" r:id="rId70"/>
      </mc:Fallback>
    </mc:AlternateContent>
    <mc:AlternateContent xmlns:mc="http://schemas.openxmlformats.org/markup-compatibility/2006">
      <mc:Choice Requires="x14">
        <oleObject progId="Equation.3" shapeId="1179" r:id="rId71">
          <objectPr defaultSize="0" autoPict="0" r:id="rId18">
            <anchor moveWithCells="1">
              <from>
                <xdr:col>4</xdr:col>
                <xdr:colOff>28575</xdr:colOff>
                <xdr:row>291</xdr:row>
                <xdr:rowOff>28575</xdr:rowOff>
              </from>
              <to>
                <xdr:col>5</xdr:col>
                <xdr:colOff>676275</xdr:colOff>
                <xdr:row>292</xdr:row>
                <xdr:rowOff>19050</xdr:rowOff>
              </to>
            </anchor>
          </objectPr>
        </oleObject>
      </mc:Choice>
      <mc:Fallback>
        <oleObject progId="Equation.3" shapeId="1179" r:id="rId71"/>
      </mc:Fallback>
    </mc:AlternateContent>
    <mc:AlternateContent xmlns:mc="http://schemas.openxmlformats.org/markup-compatibility/2006">
      <mc:Choice Requires="x14">
        <oleObject progId="Equation.3" shapeId="1195" r:id="rId72">
          <objectPr defaultSize="0" autoPict="0" r:id="rId8">
            <anchor moveWithCells="1">
              <from>
                <xdr:col>7</xdr:col>
                <xdr:colOff>695325</xdr:colOff>
                <xdr:row>68</xdr:row>
                <xdr:rowOff>180975</xdr:rowOff>
              </from>
              <to>
                <xdr:col>11</xdr:col>
                <xdr:colOff>647700</xdr:colOff>
                <xdr:row>70</xdr:row>
                <xdr:rowOff>0</xdr:rowOff>
              </to>
            </anchor>
          </objectPr>
        </oleObject>
      </mc:Choice>
      <mc:Fallback>
        <oleObject progId="Equation.3" shapeId="1195" r:id="rId72"/>
      </mc:Fallback>
    </mc:AlternateContent>
    <mc:AlternateContent xmlns:mc="http://schemas.openxmlformats.org/markup-compatibility/2006">
      <mc:Choice Requires="x14">
        <oleObject progId="Equation.3" shapeId="1198" r:id="rId73">
          <objectPr defaultSize="0" autoPict="0" r:id="rId6">
            <anchor moveWithCells="1">
              <from>
                <xdr:col>4</xdr:col>
                <xdr:colOff>28575</xdr:colOff>
                <xdr:row>837</xdr:row>
                <xdr:rowOff>123825</xdr:rowOff>
              </from>
              <to>
                <xdr:col>5</xdr:col>
                <xdr:colOff>647700</xdr:colOff>
                <xdr:row>839</xdr:row>
                <xdr:rowOff>0</xdr:rowOff>
              </to>
            </anchor>
          </objectPr>
        </oleObject>
      </mc:Choice>
      <mc:Fallback>
        <oleObject progId="Equation.3" shapeId="1198" r:id="rId73"/>
      </mc:Fallback>
    </mc:AlternateContent>
    <mc:AlternateContent xmlns:mc="http://schemas.openxmlformats.org/markup-compatibility/2006">
      <mc:Choice Requires="x14">
        <oleObject progId="Equation.3" shapeId="1199" r:id="rId74">
          <objectPr defaultSize="0" autoPict="0" r:id="rId18">
            <anchor moveWithCells="1">
              <from>
                <xdr:col>4</xdr:col>
                <xdr:colOff>28575</xdr:colOff>
                <xdr:row>839</xdr:row>
                <xdr:rowOff>28575</xdr:rowOff>
              </from>
              <to>
                <xdr:col>5</xdr:col>
                <xdr:colOff>676275</xdr:colOff>
                <xdr:row>840</xdr:row>
                <xdr:rowOff>19050</xdr:rowOff>
              </to>
            </anchor>
          </objectPr>
        </oleObject>
      </mc:Choice>
      <mc:Fallback>
        <oleObject progId="Equation.3" shapeId="1199" r:id="rId74"/>
      </mc:Fallback>
    </mc:AlternateContent>
    <mc:AlternateContent xmlns:mc="http://schemas.openxmlformats.org/markup-compatibility/2006">
      <mc:Choice Requires="x14">
        <oleObject progId="Equation.3" shapeId="1200" r:id="rId75">
          <objectPr defaultSize="0" autoPict="0" r:id="rId6">
            <anchor moveWithCells="1">
              <from>
                <xdr:col>4</xdr:col>
                <xdr:colOff>28575</xdr:colOff>
                <xdr:row>837</xdr:row>
                <xdr:rowOff>123825</xdr:rowOff>
              </from>
              <to>
                <xdr:col>5</xdr:col>
                <xdr:colOff>647700</xdr:colOff>
                <xdr:row>839</xdr:row>
                <xdr:rowOff>0</xdr:rowOff>
              </to>
            </anchor>
          </objectPr>
        </oleObject>
      </mc:Choice>
      <mc:Fallback>
        <oleObject progId="Equation.3" shapeId="1200" r:id="rId75"/>
      </mc:Fallback>
    </mc:AlternateContent>
    <mc:AlternateContent xmlns:mc="http://schemas.openxmlformats.org/markup-compatibility/2006">
      <mc:Choice Requires="x14">
        <oleObject progId="Equation.3" shapeId="1201" r:id="rId76">
          <objectPr defaultSize="0" autoPict="0" r:id="rId18">
            <anchor moveWithCells="1">
              <from>
                <xdr:col>4</xdr:col>
                <xdr:colOff>28575</xdr:colOff>
                <xdr:row>839</xdr:row>
                <xdr:rowOff>28575</xdr:rowOff>
              </from>
              <to>
                <xdr:col>5</xdr:col>
                <xdr:colOff>676275</xdr:colOff>
                <xdr:row>840</xdr:row>
                <xdr:rowOff>19050</xdr:rowOff>
              </to>
            </anchor>
          </objectPr>
        </oleObject>
      </mc:Choice>
      <mc:Fallback>
        <oleObject progId="Equation.3" shapeId="1201" r:id="rId7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EA5FF-CB78-4731-AD31-797A705D7FDC}">
  <dimension ref="A1:C85"/>
  <sheetViews>
    <sheetView topLeftCell="A65" workbookViewId="0">
      <selection activeCell="C21" sqref="C2:C21"/>
    </sheetView>
  </sheetViews>
  <sheetFormatPr baseColWidth="10" defaultRowHeight="15"/>
  <cols>
    <col min="1" max="3" width="89.42578125" customWidth="1"/>
  </cols>
  <sheetData>
    <row r="1" spans="1:3">
      <c r="A1" t="s">
        <v>883</v>
      </c>
      <c r="B1" t="s">
        <v>640</v>
      </c>
      <c r="C1" t="s">
        <v>884</v>
      </c>
    </row>
    <row r="2" spans="1:3">
      <c r="A2" t="s">
        <v>1105</v>
      </c>
      <c r="B2" t="s">
        <v>1197</v>
      </c>
      <c r="C2" t="s">
        <v>1106</v>
      </c>
    </row>
    <row r="3" spans="1:3">
      <c r="A3" t="s">
        <v>784</v>
      </c>
      <c r="B3" t="s">
        <v>1021</v>
      </c>
      <c r="C3" t="s">
        <v>1034</v>
      </c>
    </row>
    <row r="4" spans="1:3">
      <c r="A4" t="s">
        <v>785</v>
      </c>
      <c r="B4" t="s">
        <v>1022</v>
      </c>
      <c r="C4" t="s">
        <v>1035</v>
      </c>
    </row>
    <row r="5" spans="1:3">
      <c r="A5" t="s">
        <v>1215</v>
      </c>
      <c r="B5" t="s">
        <v>1216</v>
      </c>
      <c r="C5" t="s">
        <v>1365</v>
      </c>
    </row>
    <row r="6" spans="1:3">
      <c r="A6" t="s">
        <v>859</v>
      </c>
      <c r="B6" t="s">
        <v>886</v>
      </c>
      <c r="C6" t="s">
        <v>887</v>
      </c>
    </row>
    <row r="7" spans="1:3">
      <c r="A7" t="s">
        <v>619</v>
      </c>
      <c r="B7" t="s">
        <v>633</v>
      </c>
      <c r="C7" t="s">
        <v>888</v>
      </c>
    </row>
    <row r="8" spans="1:3">
      <c r="A8" t="s">
        <v>1020</v>
      </c>
      <c r="B8" t="s">
        <v>1023</v>
      </c>
      <c r="C8" t="s">
        <v>1166</v>
      </c>
    </row>
    <row r="9" spans="1:3">
      <c r="A9" t="s">
        <v>705</v>
      </c>
      <c r="B9" t="s">
        <v>2</v>
      </c>
      <c r="C9" t="s">
        <v>899</v>
      </c>
    </row>
    <row r="10" spans="1:3">
      <c r="A10" t="s">
        <v>901</v>
      </c>
      <c r="B10" s="489" t="s">
        <v>1194</v>
      </c>
      <c r="C10" s="142" t="s">
        <v>903</v>
      </c>
    </row>
    <row r="11" spans="1:3">
      <c r="A11" t="s">
        <v>904</v>
      </c>
      <c r="B11" s="489" t="s">
        <v>423</v>
      </c>
      <c r="C11" t="s">
        <v>905</v>
      </c>
    </row>
    <row r="12" spans="1:3">
      <c r="A12" t="s">
        <v>1240</v>
      </c>
      <c r="B12" t="s">
        <v>1219</v>
      </c>
      <c r="C12" t="s">
        <v>1220</v>
      </c>
    </row>
    <row r="13" spans="1:3" ht="45">
      <c r="A13" s="269" t="s">
        <v>821</v>
      </c>
      <c r="B13" s="269" t="s">
        <v>1024</v>
      </c>
      <c r="C13" s="269" t="s">
        <v>1036</v>
      </c>
    </row>
    <row r="14" spans="1:3" ht="45">
      <c r="A14" s="269" t="s">
        <v>822</v>
      </c>
      <c r="B14" s="269" t="s">
        <v>1025</v>
      </c>
      <c r="C14" s="269" t="s">
        <v>1037</v>
      </c>
    </row>
    <row r="15" spans="1:3" ht="45">
      <c r="A15" s="224" t="s">
        <v>823</v>
      </c>
      <c r="B15" s="224" t="s">
        <v>1026</v>
      </c>
      <c r="C15" s="224" t="s">
        <v>1167</v>
      </c>
    </row>
    <row r="16" spans="1:3" ht="45">
      <c r="A16" s="224" t="s">
        <v>824</v>
      </c>
      <c r="B16" s="224" t="s">
        <v>1027</v>
      </c>
      <c r="C16" s="224" t="s">
        <v>1038</v>
      </c>
    </row>
    <row r="17" spans="1:3" ht="45">
      <c r="A17" s="224" t="s">
        <v>825</v>
      </c>
      <c r="B17" s="224" t="s">
        <v>1028</v>
      </c>
      <c r="C17" s="224" t="s">
        <v>1039</v>
      </c>
    </row>
    <row r="18" spans="1:3" ht="45">
      <c r="A18" s="224" t="s">
        <v>826</v>
      </c>
      <c r="B18" s="224" t="s">
        <v>1029</v>
      </c>
      <c r="C18" s="224" t="s">
        <v>1040</v>
      </c>
    </row>
    <row r="19" spans="1:3" ht="45">
      <c r="A19" s="224" t="s">
        <v>827</v>
      </c>
      <c r="B19" s="224" t="s">
        <v>1030</v>
      </c>
      <c r="C19" s="224" t="s">
        <v>1041</v>
      </c>
    </row>
    <row r="20" spans="1:3" ht="45">
      <c r="A20" s="224" t="s">
        <v>828</v>
      </c>
      <c r="B20" s="224" t="s">
        <v>1031</v>
      </c>
      <c r="C20" s="224" t="s">
        <v>1042</v>
      </c>
    </row>
    <row r="21" spans="1:3" ht="45">
      <c r="A21" s="224" t="s">
        <v>829</v>
      </c>
      <c r="B21" s="224" t="s">
        <v>1032</v>
      </c>
      <c r="C21" s="224" t="s">
        <v>1043</v>
      </c>
    </row>
    <row r="22" spans="1:3" ht="45">
      <c r="A22" s="224" t="s">
        <v>830</v>
      </c>
      <c r="B22" s="224" t="s">
        <v>1033</v>
      </c>
      <c r="C22" s="224" t="s">
        <v>1044</v>
      </c>
    </row>
    <row r="23" spans="1:3">
      <c r="A23" s="68" t="s">
        <v>939</v>
      </c>
      <c r="B23" s="68" t="s">
        <v>938</v>
      </c>
      <c r="C23" s="68" t="s">
        <v>937</v>
      </c>
    </row>
    <row r="25" spans="1:3">
      <c r="A25" t="s">
        <v>1105</v>
      </c>
      <c r="B25" t="s">
        <v>1197</v>
      </c>
      <c r="C25" t="s">
        <v>1168</v>
      </c>
    </row>
    <row r="26" spans="1:3">
      <c r="A26" t="s">
        <v>735</v>
      </c>
      <c r="B26" t="s">
        <v>1048</v>
      </c>
      <c r="C26" t="s">
        <v>1051</v>
      </c>
    </row>
    <row r="27" spans="1:3">
      <c r="A27" t="s">
        <v>1215</v>
      </c>
      <c r="B27" t="s">
        <v>1216</v>
      </c>
      <c r="C27" t="s">
        <v>1365</v>
      </c>
    </row>
    <row r="28" spans="1:3">
      <c r="A28" t="s">
        <v>859</v>
      </c>
      <c r="B28" t="s">
        <v>886</v>
      </c>
      <c r="C28" t="s">
        <v>887</v>
      </c>
    </row>
    <row r="29" spans="1:3">
      <c r="A29" t="s">
        <v>619</v>
      </c>
      <c r="B29" t="s">
        <v>633</v>
      </c>
      <c r="C29" t="s">
        <v>888</v>
      </c>
    </row>
    <row r="30" spans="1:3" ht="15.75">
      <c r="A30" s="480" t="s">
        <v>854</v>
      </c>
      <c r="B30" t="s">
        <v>1049</v>
      </c>
      <c r="C30" t="s">
        <v>1169</v>
      </c>
    </row>
    <row r="31" spans="1:3">
      <c r="A31" t="s">
        <v>1047</v>
      </c>
      <c r="B31" t="s">
        <v>1050</v>
      </c>
      <c r="C31" t="s">
        <v>1170</v>
      </c>
    </row>
    <row r="32" spans="1:3">
      <c r="A32" t="s">
        <v>705</v>
      </c>
      <c r="B32" t="s">
        <v>2</v>
      </c>
      <c r="C32" t="s">
        <v>899</v>
      </c>
    </row>
    <row r="33" spans="1:3">
      <c r="A33" t="s">
        <v>901</v>
      </c>
      <c r="B33" s="489" t="s">
        <v>1198</v>
      </c>
      <c r="C33" s="142" t="s">
        <v>903</v>
      </c>
    </row>
    <row r="34" spans="1:3">
      <c r="A34" t="s">
        <v>904</v>
      </c>
      <c r="B34" s="489" t="s">
        <v>423</v>
      </c>
      <c r="C34" t="s">
        <v>905</v>
      </c>
    </row>
    <row r="35" spans="1:3">
      <c r="A35" t="s">
        <v>1240</v>
      </c>
      <c r="B35" t="s">
        <v>1219</v>
      </c>
      <c r="C35" t="s">
        <v>1220</v>
      </c>
    </row>
    <row r="36" spans="1:3" ht="45">
      <c r="A36" s="269" t="s">
        <v>831</v>
      </c>
      <c r="B36" s="269" t="s">
        <v>1052</v>
      </c>
      <c r="C36" s="269" t="s">
        <v>1171</v>
      </c>
    </row>
    <row r="37" spans="1:3" ht="45">
      <c r="A37" s="224" t="s">
        <v>780</v>
      </c>
      <c r="B37" s="224" t="s">
        <v>1053</v>
      </c>
      <c r="C37" s="224" t="s">
        <v>1172</v>
      </c>
    </row>
    <row r="38" spans="1:3" ht="45">
      <c r="A38" s="224" t="s">
        <v>832</v>
      </c>
      <c r="B38" s="224" t="s">
        <v>1054</v>
      </c>
      <c r="C38" s="224" t="s">
        <v>1173</v>
      </c>
    </row>
    <row r="39" spans="1:3" ht="45.75" thickBot="1">
      <c r="A39" s="421" t="s">
        <v>781</v>
      </c>
      <c r="B39" s="421" t="s">
        <v>1055</v>
      </c>
      <c r="C39" s="421" t="s">
        <v>1174</v>
      </c>
    </row>
    <row r="40" spans="1:3" ht="45.75" thickTop="1">
      <c r="A40" s="269" t="s">
        <v>833</v>
      </c>
      <c r="B40" s="269" t="s">
        <v>1056</v>
      </c>
      <c r="C40" s="269" t="s">
        <v>1175</v>
      </c>
    </row>
    <row r="41" spans="1:3" ht="45">
      <c r="A41" s="224" t="s">
        <v>782</v>
      </c>
      <c r="B41" s="224" t="s">
        <v>1057</v>
      </c>
      <c r="C41" s="224" t="s">
        <v>1176</v>
      </c>
    </row>
    <row r="42" spans="1:3" ht="45">
      <c r="A42" s="224" t="s">
        <v>834</v>
      </c>
      <c r="B42" s="224" t="s">
        <v>1058</v>
      </c>
      <c r="C42" s="224" t="s">
        <v>1177</v>
      </c>
    </row>
    <row r="43" spans="1:3" ht="45">
      <c r="A43" s="224" t="s">
        <v>783</v>
      </c>
      <c r="B43" s="224" t="s">
        <v>1059</v>
      </c>
      <c r="C43" s="224" t="s">
        <v>1178</v>
      </c>
    </row>
    <row r="44" spans="1:3">
      <c r="A44" s="68" t="s">
        <v>939</v>
      </c>
      <c r="B44" s="68" t="s">
        <v>938</v>
      </c>
      <c r="C44" s="68" t="s">
        <v>937</v>
      </c>
    </row>
    <row r="46" spans="1:3" ht="30">
      <c r="A46" t="s">
        <v>1105</v>
      </c>
      <c r="B46" t="s">
        <v>1197</v>
      </c>
      <c r="C46" s="333" t="s">
        <v>1106</v>
      </c>
    </row>
    <row r="47" spans="1:3">
      <c r="A47" t="s">
        <v>736</v>
      </c>
      <c r="B47" t="s">
        <v>1062</v>
      </c>
      <c r="C47" t="s">
        <v>1085</v>
      </c>
    </row>
    <row r="48" spans="1:3">
      <c r="A48" t="s">
        <v>1215</v>
      </c>
      <c r="B48" t="s">
        <v>1216</v>
      </c>
      <c r="C48" t="s">
        <v>1365</v>
      </c>
    </row>
    <row r="49" spans="1:3">
      <c r="A49" t="s">
        <v>859</v>
      </c>
      <c r="B49" t="s">
        <v>886</v>
      </c>
      <c r="C49" t="s">
        <v>887</v>
      </c>
    </row>
    <row r="50" spans="1:3">
      <c r="A50" t="s">
        <v>619</v>
      </c>
      <c r="B50" t="s">
        <v>633</v>
      </c>
      <c r="C50" t="s">
        <v>888</v>
      </c>
    </row>
    <row r="51" spans="1:3" ht="15.75">
      <c r="A51" s="504" t="s">
        <v>1060</v>
      </c>
      <c r="B51" s="504" t="s">
        <v>1063</v>
      </c>
      <c r="C51" t="s">
        <v>1179</v>
      </c>
    </row>
    <row r="52" spans="1:3">
      <c r="A52" t="s">
        <v>1061</v>
      </c>
      <c r="B52" t="s">
        <v>1064</v>
      </c>
      <c r="C52" t="s">
        <v>1180</v>
      </c>
    </row>
    <row r="53" spans="1:3">
      <c r="A53" t="s">
        <v>705</v>
      </c>
      <c r="B53" t="s">
        <v>2</v>
      </c>
      <c r="C53" t="s">
        <v>899</v>
      </c>
    </row>
    <row r="54" spans="1:3">
      <c r="A54" t="s">
        <v>901</v>
      </c>
      <c r="B54" s="489" t="s">
        <v>1194</v>
      </c>
      <c r="C54" s="142" t="s">
        <v>903</v>
      </c>
    </row>
    <row r="55" spans="1:3">
      <c r="A55" t="s">
        <v>904</v>
      </c>
      <c r="B55" s="489" t="s">
        <v>423</v>
      </c>
      <c r="C55" t="s">
        <v>905</v>
      </c>
    </row>
    <row r="56" spans="1:3">
      <c r="A56" t="s">
        <v>1240</v>
      </c>
      <c r="B56" t="s">
        <v>1219</v>
      </c>
      <c r="C56" t="s">
        <v>1220</v>
      </c>
    </row>
    <row r="57" spans="1:3" ht="45">
      <c r="A57" s="420" t="s">
        <v>835</v>
      </c>
      <c r="B57" s="224" t="s">
        <v>1065</v>
      </c>
      <c r="C57" s="224" t="s">
        <v>1086</v>
      </c>
    </row>
    <row r="58" spans="1:3" ht="45">
      <c r="A58" s="224" t="s">
        <v>836</v>
      </c>
      <c r="B58" s="224" t="s">
        <v>1066</v>
      </c>
      <c r="C58" s="224" t="s">
        <v>1087</v>
      </c>
    </row>
    <row r="59" spans="1:3" ht="45.75" thickBot="1">
      <c r="A59" s="421" t="s">
        <v>837</v>
      </c>
      <c r="B59" s="421" t="s">
        <v>1067</v>
      </c>
      <c r="C59" s="421" t="s">
        <v>1181</v>
      </c>
    </row>
    <row r="60" spans="1:3" ht="45.75" thickTop="1">
      <c r="A60" s="269" t="s">
        <v>838</v>
      </c>
      <c r="B60" s="269" t="s">
        <v>1068</v>
      </c>
      <c r="C60" s="269" t="s">
        <v>1088</v>
      </c>
    </row>
    <row r="61" spans="1:3" ht="45">
      <c r="A61" s="269" t="s">
        <v>839</v>
      </c>
      <c r="B61" s="224" t="s">
        <v>1069</v>
      </c>
      <c r="C61" s="224" t="s">
        <v>1089</v>
      </c>
    </row>
    <row r="62" spans="1:3" ht="45.75" thickBot="1">
      <c r="A62" s="421" t="s">
        <v>840</v>
      </c>
      <c r="B62" s="421" t="s">
        <v>1070</v>
      </c>
      <c r="C62" s="421" t="s">
        <v>1182</v>
      </c>
    </row>
    <row r="63" spans="1:3" ht="45.75" thickTop="1">
      <c r="A63" s="269" t="s">
        <v>841</v>
      </c>
      <c r="B63" s="269" t="s">
        <v>1071</v>
      </c>
      <c r="C63" s="269" t="s">
        <v>1090</v>
      </c>
    </row>
    <row r="64" spans="1:3" ht="45">
      <c r="A64" s="269" t="s">
        <v>842</v>
      </c>
      <c r="B64" s="224" t="s">
        <v>1072</v>
      </c>
      <c r="C64" s="224" t="s">
        <v>1091</v>
      </c>
    </row>
    <row r="65" spans="1:3" ht="45.75" thickBot="1">
      <c r="A65" s="421" t="s">
        <v>843</v>
      </c>
      <c r="B65" s="421" t="s">
        <v>1073</v>
      </c>
      <c r="C65" s="421" t="s">
        <v>1183</v>
      </c>
    </row>
    <row r="66" spans="1:3" ht="45.75" thickTop="1">
      <c r="A66" s="269" t="s">
        <v>844</v>
      </c>
      <c r="B66" s="269" t="s">
        <v>1074</v>
      </c>
      <c r="C66" s="269" t="s">
        <v>1092</v>
      </c>
    </row>
    <row r="67" spans="1:3" ht="45">
      <c r="A67" s="269" t="s">
        <v>845</v>
      </c>
      <c r="B67" s="224" t="s">
        <v>1075</v>
      </c>
      <c r="C67" s="224" t="s">
        <v>1093</v>
      </c>
    </row>
    <row r="68" spans="1:3" ht="45.75" thickBot="1">
      <c r="A68" s="421" t="s">
        <v>846</v>
      </c>
      <c r="B68" s="421" t="s">
        <v>1076</v>
      </c>
      <c r="C68" s="421" t="s">
        <v>1184</v>
      </c>
    </row>
    <row r="69" spans="1:3" ht="45.75" thickTop="1">
      <c r="A69" s="269" t="s">
        <v>847</v>
      </c>
      <c r="B69" s="269" t="s">
        <v>1077</v>
      </c>
      <c r="C69" s="269" t="s">
        <v>1094</v>
      </c>
    </row>
    <row r="70" spans="1:3" ht="45">
      <c r="A70" s="224" t="s">
        <v>848</v>
      </c>
      <c r="B70" s="224" t="s">
        <v>1078</v>
      </c>
      <c r="C70" s="224" t="s">
        <v>1095</v>
      </c>
    </row>
    <row r="71" spans="1:3" ht="45">
      <c r="A71" s="224" t="s">
        <v>849</v>
      </c>
      <c r="B71" s="224" t="s">
        <v>1079</v>
      </c>
      <c r="C71" s="224" t="s">
        <v>1185</v>
      </c>
    </row>
    <row r="72" spans="1:3">
      <c r="A72" s="68" t="s">
        <v>939</v>
      </c>
      <c r="B72" s="68" t="s">
        <v>938</v>
      </c>
      <c r="C72" s="68" t="s">
        <v>937</v>
      </c>
    </row>
    <row r="73" spans="1:3" ht="18">
      <c r="A73" s="368" t="s">
        <v>879</v>
      </c>
      <c r="B73" s="505" t="s">
        <v>1080</v>
      </c>
      <c r="C73" s="368" t="s">
        <v>1096</v>
      </c>
    </row>
    <row r="74" spans="1:3">
      <c r="A74" s="368" t="s">
        <v>871</v>
      </c>
      <c r="B74" s="505" t="s">
        <v>1081</v>
      </c>
      <c r="C74" s="368" t="s">
        <v>1097</v>
      </c>
    </row>
    <row r="75" spans="1:3">
      <c r="A75" s="368" t="s">
        <v>872</v>
      </c>
      <c r="B75" s="505" t="s">
        <v>1082</v>
      </c>
      <c r="C75" s="368" t="s">
        <v>1098</v>
      </c>
    </row>
    <row r="76" spans="1:3">
      <c r="A76" s="368" t="s">
        <v>880</v>
      </c>
      <c r="B76" s="505" t="s">
        <v>1083</v>
      </c>
      <c r="C76" s="368" t="s">
        <v>1099</v>
      </c>
    </row>
    <row r="77" spans="1:3" ht="18">
      <c r="A77" s="368" t="s">
        <v>881</v>
      </c>
      <c r="B77" s="505" t="s">
        <v>1084</v>
      </c>
      <c r="C77" s="368" t="s">
        <v>1100</v>
      </c>
    </row>
    <row r="79" spans="1:3">
      <c r="A79" s="68" t="s">
        <v>1131</v>
      </c>
      <c r="B79" s="68"/>
      <c r="C79" s="68"/>
    </row>
    <row r="80" spans="1:3">
      <c r="A80" s="68" t="s">
        <v>1121</v>
      </c>
      <c r="B80" s="68" t="s">
        <v>1199</v>
      </c>
      <c r="C80" s="68" t="s">
        <v>1370</v>
      </c>
    </row>
    <row r="81" spans="1:3">
      <c r="A81" s="68" t="s">
        <v>1122</v>
      </c>
      <c r="B81" s="68" t="s">
        <v>1200</v>
      </c>
      <c r="C81" s="68" t="s">
        <v>1371</v>
      </c>
    </row>
    <row r="82" spans="1:3">
      <c r="A82" s="68" t="s">
        <v>1161</v>
      </c>
      <c r="B82" s="68" t="s">
        <v>1163</v>
      </c>
      <c r="C82" s="68" t="s">
        <v>1162</v>
      </c>
    </row>
    <row r="83" spans="1:3">
      <c r="A83" s="68" t="s">
        <v>1205</v>
      </c>
      <c r="B83" s="68" t="s">
        <v>1207</v>
      </c>
      <c r="C83" s="68" t="s">
        <v>1373</v>
      </c>
    </row>
    <row r="84" spans="1:3">
      <c r="A84" s="68" t="s">
        <v>1206</v>
      </c>
      <c r="B84" s="68" t="s">
        <v>1208</v>
      </c>
      <c r="C84" s="68" t="s">
        <v>1374</v>
      </c>
    </row>
    <row r="85" spans="1:3">
      <c r="A85" s="68" t="s">
        <v>1164</v>
      </c>
      <c r="B85" s="68" t="s">
        <v>1165</v>
      </c>
      <c r="C85" s="68" t="s">
        <v>1372</v>
      </c>
    </row>
  </sheetData>
  <sheetProtection algorithmName="SHA-512" hashValue="XofmMtFQV2B9r8U8D91d9oFxg7/Xot+zc/Cnu/NFlJW61Hty1taqJHLMKQLdQkGWexaucx8jChrqN/Ck5zU2cQ==" saltValue="umjLPriSGrHwgT3ytLpbVA==" spinCount="100000" sheet="1" objects="1" scenarios="1" selectLockedCells="1"/>
  <phoneticPr fontId="56" type="noConversion"/>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S36"/>
  <sheetViews>
    <sheetView showGridLines="0" showRowColHeaders="0" view="pageLayout" zoomScaleNormal="100" workbookViewId="0">
      <selection activeCell="E5" sqref="E5"/>
    </sheetView>
  </sheetViews>
  <sheetFormatPr baseColWidth="10" defaultRowHeight="15"/>
  <cols>
    <col min="1" max="1" width="27.42578125" customWidth="1"/>
    <col min="2" max="2" width="24.85546875" bestFit="1" customWidth="1"/>
    <col min="3" max="3" width="14.5703125" customWidth="1"/>
    <col min="4" max="4" width="25" customWidth="1"/>
    <col min="5" max="5" width="11.5703125" customWidth="1"/>
    <col min="6" max="10" width="12" customWidth="1"/>
    <col min="11" max="11" width="14.5703125" customWidth="1"/>
    <col min="12" max="12" width="0.7109375" customWidth="1"/>
    <col min="13" max="13" width="11.42578125" customWidth="1"/>
    <col min="14" max="14" width="13.7109375" customWidth="1"/>
    <col min="15" max="20" width="11.42578125" customWidth="1"/>
  </cols>
  <sheetData>
    <row r="1" spans="1:19" ht="21" customHeight="1">
      <c r="A1" s="758" t="str">
        <f>HLOOKUP(K6,'GIGANT_Sprachen_DE-EN-FR'!A1:C2,2,FALSE)</f>
        <v>Belastungstabelle von KNAPP® GIGANT nach ETA-10/0189 (Ausgabe 25/08/2022)</v>
      </c>
      <c r="B1" s="758"/>
      <c r="C1" s="758"/>
      <c r="D1" s="758"/>
      <c r="E1" s="758"/>
      <c r="F1" s="758"/>
      <c r="G1" s="758"/>
      <c r="H1" s="758"/>
      <c r="I1" s="758"/>
      <c r="J1" s="758"/>
      <c r="K1" s="758"/>
      <c r="L1" s="791"/>
      <c r="M1" s="791"/>
      <c r="N1" s="791"/>
      <c r="O1" s="791"/>
      <c r="P1" s="791"/>
      <c r="Q1" s="791"/>
      <c r="R1" s="791"/>
      <c r="S1" s="791"/>
    </row>
    <row r="2" spans="1:19" ht="21.6" customHeight="1" thickBot="1">
      <c r="A2" s="759"/>
      <c r="B2" s="759"/>
      <c r="C2" s="759"/>
      <c r="D2" s="759"/>
      <c r="E2" s="759"/>
      <c r="F2" s="759"/>
      <c r="G2" s="759"/>
      <c r="H2" s="759"/>
      <c r="I2" s="759"/>
      <c r="J2" s="759"/>
      <c r="K2" s="759"/>
      <c r="L2" s="791"/>
      <c r="M2" s="791"/>
      <c r="N2" s="791"/>
      <c r="O2" s="791"/>
      <c r="P2" s="791"/>
      <c r="Q2" s="791"/>
      <c r="R2" s="791"/>
      <c r="S2" s="791"/>
    </row>
    <row r="3" spans="1:19" ht="21.6" customHeight="1">
      <c r="A3" s="344"/>
      <c r="B3" s="344"/>
      <c r="C3" s="344"/>
      <c r="D3" s="344"/>
      <c r="E3" s="344"/>
      <c r="F3" s="344"/>
      <c r="H3" s="760" t="s">
        <v>1375</v>
      </c>
      <c r="I3" s="760"/>
      <c r="J3" s="761">
        <v>44946</v>
      </c>
      <c r="K3" s="761"/>
      <c r="L3" s="344"/>
      <c r="M3" s="344"/>
      <c r="N3" s="344"/>
      <c r="O3" s="344"/>
      <c r="P3" s="344"/>
      <c r="Q3" s="344"/>
      <c r="R3" s="344"/>
      <c r="S3" s="344"/>
    </row>
    <row r="4" spans="1:19" ht="33.75">
      <c r="A4" s="370" t="s">
        <v>388</v>
      </c>
      <c r="B4" s="371"/>
      <c r="C4" s="371"/>
      <c r="D4" s="371"/>
      <c r="E4" s="371"/>
      <c r="F4" s="371"/>
      <c r="G4" s="371"/>
      <c r="H4" s="371"/>
      <c r="I4" s="371"/>
      <c r="J4" s="369"/>
      <c r="K4" s="369"/>
      <c r="L4" s="344"/>
      <c r="M4" s="344"/>
      <c r="N4" s="344"/>
      <c r="O4" s="344"/>
      <c r="P4" s="344"/>
      <c r="Q4" s="344"/>
      <c r="R4" s="344"/>
      <c r="S4" s="344"/>
    </row>
    <row r="5" spans="1:19" ht="21">
      <c r="A5" s="337" t="str">
        <f>HLOOKUP(K6,'GIGANT_Sprachen_DE-EN-FR'!A1:C3,3,FALSE)</f>
        <v>Belastungswerte:</v>
      </c>
      <c r="B5" s="649" t="s">
        <v>1210</v>
      </c>
      <c r="C5" s="362"/>
      <c r="D5" s="362" t="str">
        <f>HLOOKUP(K6,'GIGANT_Sprachen_DE-EN-FR'!A1:C4,4,FALSE)</f>
        <v>Festigkeitsklasse:</v>
      </c>
      <c r="E5" s="400" t="s">
        <v>25</v>
      </c>
      <c r="G5" s="391" t="str">
        <f>VLOOKUP(E5,'RICON_RICON-S-EK_GIGANT_WALCO '!V7:Y18,4,FALSE)</f>
        <v>Brettschichtholz homogen</v>
      </c>
      <c r="H5" s="391"/>
      <c r="K5" s="161" t="str">
        <f>IF(K6="DE","Language",IF(K6="EN","Language","Langue"))</f>
        <v>Language</v>
      </c>
      <c r="L5" s="792"/>
      <c r="M5" s="792"/>
      <c r="N5" s="792"/>
      <c r="O5" s="792"/>
      <c r="P5" s="792"/>
      <c r="Q5" s="792"/>
      <c r="R5" s="792"/>
      <c r="S5" s="792"/>
    </row>
    <row r="6" spans="1:19" ht="21">
      <c r="A6" s="772" t="str">
        <f>IF(B5='RICON_RICON-S-EK_GIGANT_WALCO '!V20,HLOOKUP(K6,'RICON_RICON-S-EK_GIGANT_WALCO '!V19:Y20,2,FALSE),IF(B5='RICON_RICON-S-EK_GIGANT_WALCO '!V21,HLOOKUP(K6,'RICON_RICON-S-EK_GIGANT_WALCO '!V19:Y21,3,FALSE),IF(B5='RICON_RICON-S-EK_GIGANT_WALCO '!V22,HLOOKUP(K6,'RICON_RICON-S-EK_GIGANT_WALCO '!V19:Y22,4,FALSE),HLOOKUP(K6,'RICON_RICON-S-EK_GIGANT_WALCO '!V19:Y23,5,FALSE))))</f>
        <v>In Einschubrichtung</v>
      </c>
      <c r="B6" s="772"/>
      <c r="C6" s="772"/>
      <c r="D6" s="362" t="str">
        <f>HLOOKUP(K6,'GIGANT_Sprachen_DE-EN-FR'!A1:C5,5,FALSE)</f>
        <v>Nutzungsklasse NKL:</v>
      </c>
      <c r="E6" s="400">
        <v>1</v>
      </c>
      <c r="G6" s="391" t="str">
        <f>VLOOKUP(E6,'RICON_RICON-S-EK_GIGANT_WALCO '!V27:X29,3,FALSE)</f>
        <v>Innenbereich</v>
      </c>
      <c r="H6" s="392"/>
      <c r="K6" s="488" t="s">
        <v>883</v>
      </c>
      <c r="L6" s="339"/>
    </row>
    <row r="7" spans="1:19" ht="18.75">
      <c r="D7" s="362"/>
      <c r="E7" s="362"/>
      <c r="G7" s="391"/>
      <c r="H7" s="392"/>
      <c r="L7" s="339"/>
    </row>
    <row r="8" spans="1:19" ht="21.6" customHeight="1">
      <c r="A8" s="344"/>
      <c r="B8" s="344"/>
      <c r="C8" s="344"/>
      <c r="I8" s="344"/>
      <c r="L8" s="344"/>
      <c r="M8" s="344"/>
      <c r="N8" s="344"/>
      <c r="O8" s="344"/>
      <c r="P8" s="344"/>
      <c r="Q8" s="344"/>
      <c r="R8" s="344"/>
      <c r="S8" s="344"/>
    </row>
    <row r="9" spans="1:19" ht="18.75">
      <c r="A9" s="339"/>
      <c r="B9" s="339"/>
      <c r="L9" s="339"/>
    </row>
    <row r="10" spans="1:19" ht="18.75">
      <c r="A10" s="339"/>
      <c r="B10" s="339"/>
      <c r="L10" s="339"/>
    </row>
    <row r="11" spans="1:19" ht="18.75">
      <c r="A11" s="339"/>
      <c r="B11" s="339"/>
      <c r="L11" s="339"/>
    </row>
    <row r="12" spans="1:19" ht="18.75">
      <c r="A12" s="339"/>
      <c r="B12" s="339"/>
      <c r="L12" s="339"/>
    </row>
    <row r="13" spans="1:19" ht="18.75">
      <c r="A13" s="339"/>
      <c r="B13" s="339"/>
      <c r="L13" s="339"/>
    </row>
    <row r="14" spans="1:19" ht="18.75">
      <c r="A14" s="339"/>
      <c r="B14" s="339"/>
      <c r="C14" t="str">
        <f>HLOOKUP($K$6,'GIGANT_Sprachen_DE-EN-FR'!$A$1:C21,21,FALSE)</f>
        <v>1. Hauptträger</v>
      </c>
      <c r="L14" s="339"/>
    </row>
    <row r="15" spans="1:19" ht="18.75">
      <c r="A15" s="339"/>
      <c r="B15" s="339"/>
      <c r="C15" t="str">
        <f>HLOOKUP($K$6,'GIGANT_Sprachen_DE-EN-FR'!$A$1:C22,22,FALSE)</f>
        <v>2. Nebenträger</v>
      </c>
      <c r="L15" s="339"/>
    </row>
    <row r="16" spans="1:19" ht="21">
      <c r="A16" s="475" t="str">
        <f>HLOOKUP(K6,'GIGANT_Sprachen_DE-EN-FR'!A1:C6,6,FALSE)</f>
        <v>Bild 1: GIGANT Einzelanschluss</v>
      </c>
      <c r="B16" s="336"/>
      <c r="L16" s="336"/>
    </row>
    <row r="17" spans="1:19" ht="21">
      <c r="A17" s="474"/>
      <c r="B17" s="336"/>
      <c r="L17" s="336"/>
    </row>
    <row r="18" spans="1:19" ht="18" customHeight="1">
      <c r="A18" s="528" t="str">
        <f>HLOOKUP(K6,'GIGANT_Sprachen_DE-EN-FR'!A1:C7,7,FALSE)</f>
        <v>KNAPP® Verbinder</v>
      </c>
      <c r="B18" s="769" t="str">
        <f>HLOOKUP(K6,'GIGANT_Sprachen_DE-EN-FR'!A1:C8,8,FALSE)</f>
        <v>Min. Nebenträgerabmessungen [mm]</v>
      </c>
      <c r="C18" s="768" t="str">
        <f>HLOOKUP(K6,'GIGANT_Sprachen_DE-EN-FR'!A1:C9,9,FALSE)</f>
        <v>Charakteristische Werte [kN]</v>
      </c>
      <c r="D18" s="768"/>
      <c r="E18" s="545" t="str">
        <f>IF($B$5='RICON_RICON-S-EK_GIGANT_WALCO '!$V$20,"F1,KCC,Rd",IF($B$5='RICON_RICON-S-EK_GIGANT_WALCO '!$V$21,"F2,KCC,Rd",IF($B$5='RICON_RICON-S-EK_GIGANT_WALCO '!$V$22,"F3,KCC,Rd","F45,KCC,Rd")))</f>
        <v>F2,KCC,Rd</v>
      </c>
      <c r="F18" s="766" t="str">
        <f>HLOOKUP(K6,'GIGANT_Sprachen_DE-EN-FR'!A1:C10,10,FALSE)</f>
        <v xml:space="preserve">Bemessungswerte </v>
      </c>
      <c r="G18" s="767"/>
      <c r="H18" s="767"/>
      <c r="I18" s="542" t="str">
        <f>IF($B$5='RICON_RICON-S-EK_GIGANT_WALCO '!$V$20,"F1,Rd [kN]",IF($B$5='RICON_RICON-S-EK_GIGANT_WALCO '!$V$21,"F2,Rd [kN]",IF($B$5='RICON_RICON-S-EK_GIGANT_WALCO '!$V$22,"F3,Rd [kN]","F45,Rd [kN]")))</f>
        <v>F2,Rd [kN]</v>
      </c>
      <c r="J18" s="542" t="str">
        <f>E5</f>
        <v>GL24h</v>
      </c>
      <c r="K18" s="531" t="s">
        <v>1203</v>
      </c>
      <c r="M18" s="816"/>
      <c r="N18" s="816"/>
      <c r="O18" s="716"/>
      <c r="P18" s="716"/>
      <c r="Q18" s="716"/>
      <c r="R18" s="716"/>
      <c r="S18" s="716"/>
    </row>
    <row r="19" spans="1:19" ht="33.75" customHeight="1">
      <c r="A19" s="538"/>
      <c r="B19" s="770"/>
      <c r="C19" s="529" t="str">
        <f>IF($B$5='RICON_RICON-S-EK_GIGANT_WALCO '!$V$20,"F1,KCC,RK",IF(B5='RICON_RICON-S-EK_GIGANT_WALCO '!$V$21,"F2,KCC,RK",IF(B5='RICON_RICON-S-EK_GIGANT_WALCO '!$V$22,"F3,KCC,RK","F45,KCC,Rk")))</f>
        <v>F2,KCC,RK</v>
      </c>
      <c r="D19" s="544" t="str">
        <f>IF($B$5='RICON_RICON-S-EK_GIGANT_WALCO '!$V$20,"F1,RK",IF(B5='RICON_RICON-S-EK_GIGANT_WALCO '!$V$21,"F2,RK",IF(B5='RICON_RICON-S-EK_GIGANT_WALCO '!$V$22,"F3,RK","F45,Rk")))</f>
        <v>F2,RK</v>
      </c>
      <c r="E19" s="547">
        <f>IF(B5='RICON_RICON-S-EK_GIGANT_WALCO '!V22,1.25,1)</f>
        <v>1</v>
      </c>
      <c r="F19" s="535">
        <v>0.6</v>
      </c>
      <c r="G19" s="535">
        <v>0.7</v>
      </c>
      <c r="H19" s="535">
        <v>0.8</v>
      </c>
      <c r="I19" s="535">
        <v>0.9</v>
      </c>
      <c r="J19" s="535">
        <v>1</v>
      </c>
      <c r="K19" s="535">
        <v>1.1000000000000001</v>
      </c>
      <c r="L19" s="129"/>
      <c r="O19" s="430"/>
      <c r="P19" s="430"/>
      <c r="Q19" s="430"/>
      <c r="R19" s="430"/>
      <c r="S19" s="430"/>
    </row>
    <row r="20" spans="1:19" ht="60">
      <c r="A20" s="226" t="str">
        <f>HLOOKUP($K$6,'GIGANT_Sprachen_DE-EN-FR'!$A$1:$C$17,11,FALSE)</f>
        <v>GIGANT 120/40  ST
mit/ohne Sperrklappe
HT: 3xSK10x80
NT: 3xSK10x120</v>
      </c>
      <c r="B20" s="350" t="s">
        <v>585</v>
      </c>
      <c r="C20" s="574">
        <f>IF($B$5='RICON_RICON-S-EK_GIGANT_WALCO '!$V$20,'RICON_RICON-S-EK_GIGANT_WALCO '!B7*'RICON_RICON-S-EK_GIGANT_WALCO '!E7,IF(GIGANT!$B$5='RICON_RICON-S-EK_GIGANT_WALCO '!$V$21,'RICON_RICON-S-EK_GIGANT_WALCO '!C127,IF($B$5='RICON_RICON-S-EK_GIGANT_WALCO '!$V$22,12,'RICON_RICON-S-EK_GIGANT_WALCO '!C663)))</f>
        <v>17</v>
      </c>
      <c r="D20" s="574">
        <f>IF($B$5='RICON_RICON-S-EK_GIGANT_WALCO '!$V$20,MIN('RICON_RICON-S-EK_GIGANT_WALCO '!I7,'RICON_RICON-S-EK_GIGANT_WALCO '!J7)*'RICON_RICON-S-EK_GIGANT_WALCO '!E7,IF(GIGANT!$B$5='RICON_RICON-S-EK_GIGANT_WALCO '!$V$21,MIN('RICON_RICON-S-EK_GIGANT_WALCO '!B127,'RICON_RICON-S-EK_GIGANT_WALCO '!E127),IF($B$5='RICON_RICON-S-EK_GIGANT_WALCO '!$V$22,MIN('RICON_RICON-S-EK_GIGANT_WALCO '!B127,'RICON_RICON-S-EK_GIGANT_WALCO '!E127),'RICON_RICON-S-EK_GIGANT_WALCO '!E663)))</f>
        <v>12.49450681193213</v>
      </c>
      <c r="E20" s="575">
        <f>C20/$E$19</f>
        <v>17</v>
      </c>
      <c r="F20" s="576">
        <f>MIN($E20,$D20*F$19/1.3)</f>
        <v>5.7666954516609827</v>
      </c>
      <c r="G20" s="576">
        <f t="shared" ref="G20:K26" si="0">MIN($E20,$D20*G$19/1.3)</f>
        <v>6.7278113602711462</v>
      </c>
      <c r="H20" s="576">
        <f t="shared" si="0"/>
        <v>7.6889272688813115</v>
      </c>
      <c r="I20" s="576">
        <f t="shared" si="0"/>
        <v>8.6500431774914741</v>
      </c>
      <c r="J20" s="576">
        <f t="shared" si="0"/>
        <v>9.6111590861016385</v>
      </c>
      <c r="K20" s="576">
        <f t="shared" si="0"/>
        <v>10.572274994711803</v>
      </c>
      <c r="L20" s="436"/>
      <c r="M20" s="338"/>
      <c r="N20" s="338"/>
      <c r="O20" s="338"/>
      <c r="P20" s="338"/>
      <c r="Q20" s="338"/>
      <c r="R20" s="338"/>
      <c r="S20" s="338"/>
    </row>
    <row r="21" spans="1:19" ht="60">
      <c r="A21" s="62" t="str">
        <f>HLOOKUP($K$6,'GIGANT_Sprachen_DE-EN-FR'!$A$1:$C$17,12,FALSE)</f>
        <v>GIGANT 150/40  ST
ohne Sperrklappe
HT: 4xSK10x80
NT: 4xSK10x120</v>
      </c>
      <c r="B21" s="350" t="s">
        <v>596</v>
      </c>
      <c r="C21" s="574">
        <f>IF($B$5='RICON_RICON-S-EK_GIGANT_WALCO '!$V$20,'RICON_RICON-S-EK_GIGANT_WALCO '!B8*'RICON_RICON-S-EK_GIGANT_WALCO '!E8,IF(GIGANT!$B$5='RICON_RICON-S-EK_GIGANT_WALCO '!$V$21,'RICON_RICON-S-EK_GIGANT_WALCO '!C128,IF($B$5='RICON_RICON-S-EK_GIGANT_WALCO '!$V$22,0,'RICON_RICON-S-EK_GIGANT_WALCO '!C664)))</f>
        <v>24</v>
      </c>
      <c r="D21" s="574">
        <f>IF($B$5='RICON_RICON-S-EK_GIGANT_WALCO '!$V$20,MIN('RICON_RICON-S-EK_GIGANT_WALCO '!I8,'RICON_RICON-S-EK_GIGANT_WALCO '!J8)*'RICON_RICON-S-EK_GIGANT_WALCO '!E8,IF(GIGANT!$B$5='RICON_RICON-S-EK_GIGANT_WALCO '!$V$21,MIN('RICON_RICON-S-EK_GIGANT_WALCO '!B128,'RICON_RICON-S-EK_GIGANT_WALCO '!E128),IF($B$5='RICON_RICON-S-EK_GIGANT_WALCO '!$V$22,0,'RICON_RICON-S-EK_GIGANT_WALCO '!E664)))</f>
        <v>16.659342415909506</v>
      </c>
      <c r="E21" s="575">
        <f t="shared" ref="E21:E26" si="1">C21/$E$19</f>
        <v>24</v>
      </c>
      <c r="F21" s="576">
        <f t="shared" ref="F21:F26" si="2">MIN($E21,$D21*F$19/1.3)</f>
        <v>7.6889272688813097</v>
      </c>
      <c r="G21" s="576">
        <f t="shared" si="0"/>
        <v>8.970415147028195</v>
      </c>
      <c r="H21" s="576">
        <f t="shared" si="0"/>
        <v>10.251903025175082</v>
      </c>
      <c r="I21" s="576">
        <f t="shared" si="0"/>
        <v>11.533390903321965</v>
      </c>
      <c r="J21" s="576">
        <f t="shared" si="0"/>
        <v>12.814878781468851</v>
      </c>
      <c r="K21" s="576">
        <f t="shared" si="0"/>
        <v>14.096366659615738</v>
      </c>
      <c r="L21" s="437"/>
      <c r="M21" s="338"/>
      <c r="N21" s="338"/>
      <c r="O21" s="338"/>
      <c r="P21" s="338"/>
      <c r="Q21" s="338"/>
      <c r="R21" s="338"/>
      <c r="S21" s="338"/>
    </row>
    <row r="22" spans="1:19" ht="60">
      <c r="A22" s="62" t="str">
        <f>HLOOKUP($K$6,'GIGANT_Sprachen_DE-EN-FR'!$A$1:$C$17,13,FALSE)</f>
        <v>GIGANT 150/40  Max
ohne Sperrklappe
HT: 4xSK10x80
NT: 4xSK10x200</v>
      </c>
      <c r="B22" s="350" t="s">
        <v>596</v>
      </c>
      <c r="C22" s="574">
        <f>IF($B$5='RICON_RICON-S-EK_GIGANT_WALCO '!$V$20,'RICON_RICON-S-EK_GIGANT_WALCO '!B9*'RICON_RICON-S-EK_GIGANT_WALCO '!E9,IF(GIGANT!$B$5='RICON_RICON-S-EK_GIGANT_WALCO '!$V$21,'RICON_RICON-S-EK_GIGANT_WALCO '!C129,IF($B$5='RICON_RICON-S-EK_GIGANT_WALCO '!$V$22,0,'RICON_RICON-S-EK_GIGANT_WALCO '!C665)))</f>
        <v>24</v>
      </c>
      <c r="D22" s="574">
        <f>IF($B$5='RICON_RICON-S-EK_GIGANT_WALCO '!$V$20,MIN('RICON_RICON-S-EK_GIGANT_WALCO '!I9,'RICON_RICON-S-EK_GIGANT_WALCO '!J9)*'RICON_RICON-S-EK_GIGANT_WALCO '!E9,IF(GIGANT!$B$5='RICON_RICON-S-EK_GIGANT_WALCO '!$V$21,MIN('RICON_RICON-S-EK_GIGANT_WALCO '!B129,'RICON_RICON-S-EK_GIGANT_WALCO '!E129),IF($B$5='RICON_RICON-S-EK_GIGANT_WALCO '!$V$22,0,'RICON_RICON-S-EK_GIGANT_WALCO '!E665)))</f>
        <v>19.193549266365359</v>
      </c>
      <c r="E22" s="575">
        <f t="shared" si="1"/>
        <v>24</v>
      </c>
      <c r="F22" s="576">
        <f t="shared" si="2"/>
        <v>8.858561199860933</v>
      </c>
      <c r="G22" s="576">
        <f t="shared" si="0"/>
        <v>10.334988066504424</v>
      </c>
      <c r="H22" s="576">
        <f t="shared" si="0"/>
        <v>11.811414933147914</v>
      </c>
      <c r="I22" s="576">
        <f t="shared" si="0"/>
        <v>13.287841799791401</v>
      </c>
      <c r="J22" s="576">
        <f t="shared" si="0"/>
        <v>14.764268666434891</v>
      </c>
      <c r="K22" s="576">
        <f t="shared" si="0"/>
        <v>16.24069553307838</v>
      </c>
      <c r="L22" s="437"/>
      <c r="M22" s="338"/>
      <c r="N22" s="338"/>
      <c r="O22" s="338"/>
      <c r="P22" s="338"/>
      <c r="Q22" s="338"/>
      <c r="R22" s="338"/>
      <c r="S22" s="338"/>
    </row>
    <row r="23" spans="1:19" ht="60">
      <c r="A23" s="62" t="str">
        <f>HLOOKUP($K$6,'GIGANT_Sprachen_DE-EN-FR'!$A$1:$C$17,14,FALSE)</f>
        <v>GIGANT 150/40 ST 
mit Sperrklappe
HT: 4xSK10x80
NT: 4xSK10x120</v>
      </c>
      <c r="B23" s="350" t="s">
        <v>595</v>
      </c>
      <c r="C23" s="574">
        <f>IF($B$5='RICON_RICON-S-EK_GIGANT_WALCO '!$V$20,'RICON_RICON-S-EK_GIGANT_WALCO '!B10*'RICON_RICON-S-EK_GIGANT_WALCO '!E10,IF(GIGANT!$B$5='RICON_RICON-S-EK_GIGANT_WALCO '!$V$21,'RICON_RICON-S-EK_GIGANT_WALCO '!C130,IF($B$5='RICON_RICON-S-EK_GIGANT_WALCO '!$V$22,12,'RICON_RICON-S-EK_GIGANT_WALCO '!C666)))</f>
        <v>24</v>
      </c>
      <c r="D23" s="574">
        <f>IF($B$5='RICON_RICON-S-EK_GIGANT_WALCO '!$V$20,MIN('RICON_RICON-S-EK_GIGANT_WALCO '!I10,'RICON_RICON-S-EK_GIGANT_WALCO '!J10)*'RICON_RICON-S-EK_GIGANT_WALCO '!E10,IF(GIGANT!$B$5='RICON_RICON-S-EK_GIGANT_WALCO '!$V$21,MIN('RICON_RICON-S-EK_GIGANT_WALCO '!B130,'RICON_RICON-S-EK_GIGANT_WALCO '!E130),IF($B$5='RICON_RICON-S-EK_GIGANT_WALCO '!$V$22,MIN('RICON_RICON-S-EK_GIGANT_WALCO '!B130,'RICON_RICON-S-EK_GIGANT_WALCO '!E130),'RICON_RICON-S-EK_GIGANT_WALCO '!E666)))</f>
        <v>16.659342415909506</v>
      </c>
      <c r="E23" s="575">
        <f t="shared" si="1"/>
        <v>24</v>
      </c>
      <c r="F23" s="576">
        <f t="shared" si="2"/>
        <v>7.6889272688813097</v>
      </c>
      <c r="G23" s="576">
        <f t="shared" si="0"/>
        <v>8.970415147028195</v>
      </c>
      <c r="H23" s="576">
        <f t="shared" si="0"/>
        <v>10.251903025175082</v>
      </c>
      <c r="I23" s="576">
        <f t="shared" si="0"/>
        <v>11.533390903321965</v>
      </c>
      <c r="J23" s="576">
        <f t="shared" si="0"/>
        <v>12.814878781468851</v>
      </c>
      <c r="K23" s="576">
        <f t="shared" si="0"/>
        <v>14.096366659615738</v>
      </c>
      <c r="L23" s="437"/>
      <c r="M23" s="338"/>
      <c r="N23" s="338"/>
      <c r="O23" s="338"/>
      <c r="P23" s="338"/>
      <c r="Q23" s="338"/>
      <c r="R23" s="338"/>
      <c r="S23" s="338"/>
    </row>
    <row r="24" spans="1:19" ht="60">
      <c r="A24" s="62" t="str">
        <f>HLOOKUP($K$6,'GIGANT_Sprachen_DE-EN-FR'!$A$1:$C$17,15,FALSE)</f>
        <v>GIGANT 180/40  ST
ohne Sperrklappe
HT: 6xSK10x80
NT: 6xSK10x120</v>
      </c>
      <c r="B24" s="350" t="s">
        <v>598</v>
      </c>
      <c r="C24" s="574">
        <f>IF($B$5='RICON_RICON-S-EK_GIGANT_WALCO '!$V$20,'RICON_RICON-S-EK_GIGANT_WALCO '!B11*'RICON_RICON-S-EK_GIGANT_WALCO '!E11,IF(GIGANT!$B$5='RICON_RICON-S-EK_GIGANT_WALCO '!$V$21,'RICON_RICON-S-EK_GIGANT_WALCO '!C131,IF($B$5='RICON_RICON-S-EK_GIGANT_WALCO '!$V$22,0,'RICON_RICON-S-EK_GIGANT_WALCO '!C667)))</f>
        <v>33</v>
      </c>
      <c r="D24" s="574">
        <f>IF($B$5='RICON_RICON-S-EK_GIGANT_WALCO '!$V$20,MIN('RICON_RICON-S-EK_GIGANT_WALCO '!I11,'RICON_RICON-S-EK_GIGANT_WALCO '!J11)*'RICON_RICON-S-EK_GIGANT_WALCO '!E11,IF(GIGANT!$B$5='RICON_RICON-S-EK_GIGANT_WALCO '!$V$21,MIN('RICON_RICON-S-EK_GIGANT_WALCO '!B131,'RICON_RICON-S-EK_GIGANT_WALCO '!E131),IF($B$5='RICON_RICON-S-EK_GIGANT_WALCO '!$V$22,0,'RICON_RICON-S-EK_GIGANT_WALCO '!E667)))</f>
        <v>24.98901362386426</v>
      </c>
      <c r="E24" s="575">
        <f t="shared" si="1"/>
        <v>33</v>
      </c>
      <c r="F24" s="576">
        <f t="shared" si="2"/>
        <v>11.533390903321965</v>
      </c>
      <c r="G24" s="576">
        <f t="shared" si="0"/>
        <v>13.455622720542292</v>
      </c>
      <c r="H24" s="576">
        <f t="shared" si="0"/>
        <v>15.377854537762623</v>
      </c>
      <c r="I24" s="576">
        <f t="shared" si="0"/>
        <v>17.300086354982948</v>
      </c>
      <c r="J24" s="576">
        <f t="shared" si="0"/>
        <v>19.222318172203277</v>
      </c>
      <c r="K24" s="576">
        <f t="shared" si="0"/>
        <v>21.144549989423606</v>
      </c>
      <c r="L24" s="437"/>
      <c r="M24" s="338"/>
      <c r="N24" s="338"/>
      <c r="O24" s="338"/>
      <c r="P24" s="338"/>
      <c r="Q24" s="338"/>
      <c r="R24" s="338"/>
      <c r="S24" s="338"/>
    </row>
    <row r="25" spans="1:19" ht="60">
      <c r="A25" s="62" t="str">
        <f>HLOOKUP($K$6,'GIGANT_Sprachen_DE-EN-FR'!$A$1:$C$17,16,FALSE)</f>
        <v>GIGANT 180/40  Max
ohne Sperrklappe
HT: 6xSK10x80
NT: 6xSK10x200</v>
      </c>
      <c r="B25" s="350" t="s">
        <v>598</v>
      </c>
      <c r="C25" s="574">
        <f>IF($B$5='RICON_RICON-S-EK_GIGANT_WALCO '!$V$20,'RICON_RICON-S-EK_GIGANT_WALCO '!B12*'RICON_RICON-S-EK_GIGANT_WALCO '!E12,IF(GIGANT!$B$5='RICON_RICON-S-EK_GIGANT_WALCO '!$V$21,'RICON_RICON-S-EK_GIGANT_WALCO '!C132,IF($B$5='RICON_RICON-S-EK_GIGANT_WALCO '!$V$22,0,'RICON_RICON-S-EK_GIGANT_WALCO '!C668)))</f>
        <v>33</v>
      </c>
      <c r="D25" s="574">
        <f>IF($B$5='RICON_RICON-S-EK_GIGANT_WALCO '!$V$20,MIN('RICON_RICON-S-EK_GIGANT_WALCO '!I12,'RICON_RICON-S-EK_GIGANT_WALCO '!J12)*'RICON_RICON-S-EK_GIGANT_WALCO '!E12,IF(GIGANT!$B$5='RICON_RICON-S-EK_GIGANT_WALCO '!$V$21,MIN('RICON_RICON-S-EK_GIGANT_WALCO '!B132,'RICON_RICON-S-EK_GIGANT_WALCO '!E132),IF($B$5='RICON_RICON-S-EK_GIGANT_WALCO '!$V$22,0,'RICON_RICON-S-EK_GIGANT_WALCO '!E668)))</f>
        <v>30.673435303237074</v>
      </c>
      <c r="E25" s="575">
        <f t="shared" si="1"/>
        <v>33</v>
      </c>
      <c r="F25" s="576">
        <f t="shared" si="2"/>
        <v>14.156970139955572</v>
      </c>
      <c r="G25" s="576">
        <f t="shared" si="0"/>
        <v>16.516465163281499</v>
      </c>
      <c r="H25" s="576">
        <f t="shared" si="0"/>
        <v>18.875960186607433</v>
      </c>
      <c r="I25" s="576">
        <f t="shared" si="0"/>
        <v>21.23545520993336</v>
      </c>
      <c r="J25" s="576">
        <f t="shared" si="0"/>
        <v>23.594950233259286</v>
      </c>
      <c r="K25" s="576">
        <f t="shared" si="0"/>
        <v>25.954445256585217</v>
      </c>
      <c r="L25" s="437"/>
      <c r="M25" s="338"/>
      <c r="N25" s="338"/>
      <c r="O25" s="338"/>
      <c r="P25" s="338"/>
      <c r="Q25" s="338"/>
      <c r="R25" s="338"/>
      <c r="S25" s="338"/>
    </row>
    <row r="26" spans="1:19" ht="60">
      <c r="A26" s="62" t="str">
        <f>HLOOKUP($K$6,'GIGANT_Sprachen_DE-EN-FR'!$A$1:$C$17,17,FALSE)</f>
        <v>GIGANT 180/40  ST
mit Sperrklappe
HT: 6xSK10x80
NT: 5xSK10x120</v>
      </c>
      <c r="B26" s="350" t="s">
        <v>597</v>
      </c>
      <c r="C26" s="574">
        <f>IF($B$5='RICON_RICON-S-EK_GIGANT_WALCO '!$V$20,'RICON_RICON-S-EK_GIGANT_WALCO '!B13*'RICON_RICON-S-EK_GIGANT_WALCO '!E13,IF(GIGANT!$B$5='RICON_RICON-S-EK_GIGANT_WALCO '!$V$21,'RICON_RICON-S-EK_GIGANT_WALCO '!C133,IF($B$5='RICON_RICON-S-EK_GIGANT_WALCO '!$V$22,12,'RICON_RICON-S-EK_GIGANT_WALCO '!C669)))</f>
        <v>33</v>
      </c>
      <c r="D26" s="574">
        <f>IF($B$5='RICON_RICON-S-EK_GIGANT_WALCO '!$V$20,MIN('RICON_RICON-S-EK_GIGANT_WALCO '!I13,'RICON_RICON-S-EK_GIGANT_WALCO '!J13)*'RICON_RICON-S-EK_GIGANT_WALCO '!E13,IF(GIGANT!$B$5='RICON_RICON-S-EK_GIGANT_WALCO '!$V$21,MIN('RICON_RICON-S-EK_GIGANT_WALCO '!B133,'RICON_RICON-S-EK_GIGANT_WALCO '!E133),IF($B$5='RICON_RICON-S-EK_GIGANT_WALCO '!$V$22,MIN('RICON_RICON-S-EK_GIGANT_WALCO '!B133,'RICON_RICON-S-EK_GIGANT_WALCO '!E133),'RICON_RICON-S-EK_GIGANT_WALCO '!E669)))</f>
        <v>20.824178019886883</v>
      </c>
      <c r="E26" s="575">
        <f t="shared" si="1"/>
        <v>33</v>
      </c>
      <c r="F26" s="576">
        <f t="shared" si="2"/>
        <v>9.6111590861016385</v>
      </c>
      <c r="G26" s="576">
        <f t="shared" si="0"/>
        <v>11.213018933785243</v>
      </c>
      <c r="H26" s="576">
        <f t="shared" si="0"/>
        <v>12.814878781468851</v>
      </c>
      <c r="I26" s="576">
        <f t="shared" si="0"/>
        <v>14.416738629152459</v>
      </c>
      <c r="J26" s="576">
        <f t="shared" si="0"/>
        <v>16.018598476836065</v>
      </c>
      <c r="K26" s="576">
        <f t="shared" si="0"/>
        <v>17.620458324519671</v>
      </c>
      <c r="L26" s="437"/>
      <c r="M26" s="338"/>
      <c r="N26" s="338"/>
      <c r="O26" s="338"/>
      <c r="P26" s="338"/>
      <c r="Q26" s="338"/>
      <c r="R26" s="338"/>
      <c r="S26" s="338"/>
    </row>
    <row r="27" spans="1:19">
      <c r="A27" s="332"/>
      <c r="B27" s="351"/>
      <c r="C27" s="338"/>
      <c r="D27" s="338"/>
      <c r="E27" s="338"/>
      <c r="F27" s="338"/>
      <c r="G27" s="338"/>
      <c r="H27" s="338"/>
      <c r="I27" s="338"/>
      <c r="L27" s="332"/>
      <c r="M27" s="338"/>
      <c r="N27" s="338"/>
      <c r="O27" s="338"/>
      <c r="P27" s="338"/>
      <c r="Q27" s="338"/>
      <c r="R27" s="338"/>
      <c r="S27" s="338"/>
    </row>
    <row r="28" spans="1:19">
      <c r="A28" s="503" t="str">
        <f>HLOOKUP(K6,'GIGANT_Sprachen_DE-EN-FR'!A1:C18,18,FALSE)</f>
        <v>Berechnung von F2,Rd:</v>
      </c>
      <c r="B28" s="351"/>
      <c r="C28" s="338"/>
      <c r="D28" s="338"/>
      <c r="E28" s="338"/>
      <c r="F28" s="338"/>
      <c r="G28" s="338"/>
      <c r="H28" s="338"/>
      <c r="I28" s="338"/>
      <c r="L28" s="332"/>
      <c r="M28" s="338"/>
      <c r="N28" s="338"/>
      <c r="O28" s="338"/>
      <c r="P28" s="338"/>
      <c r="Q28" s="338"/>
      <c r="R28" s="338"/>
      <c r="S28" s="338"/>
    </row>
    <row r="29" spans="1:19">
      <c r="A29" s="332"/>
      <c r="B29" s="351"/>
      <c r="C29" s="338"/>
      <c r="D29" s="338"/>
      <c r="E29" s="338"/>
      <c r="F29" s="338"/>
      <c r="G29" s="338"/>
      <c r="H29" s="338"/>
      <c r="I29" s="338"/>
      <c r="L29" s="332"/>
      <c r="M29" s="338"/>
      <c r="N29" s="338"/>
      <c r="O29" s="338"/>
      <c r="P29" s="338"/>
      <c r="Q29" s="338"/>
      <c r="R29" s="338"/>
      <c r="S29" s="338"/>
    </row>
    <row r="30" spans="1:19">
      <c r="A30" s="332"/>
      <c r="B30" s="351"/>
      <c r="C30" s="338"/>
      <c r="D30" s="338"/>
      <c r="E30" s="338"/>
      <c r="F30" s="338"/>
      <c r="G30" s="338"/>
      <c r="H30" s="338"/>
      <c r="I30" s="338"/>
      <c r="L30" s="332"/>
      <c r="M30" s="338"/>
      <c r="N30" s="338"/>
      <c r="O30" s="338"/>
      <c r="P30" s="338"/>
      <c r="Q30" s="338"/>
      <c r="R30" s="338"/>
      <c r="S30" s="338"/>
    </row>
    <row r="31" spans="1:19">
      <c r="A31" s="332"/>
      <c r="B31" s="332"/>
      <c r="C31" s="338"/>
      <c r="D31" s="338"/>
      <c r="E31" s="338"/>
      <c r="F31" s="338"/>
      <c r="G31" s="338"/>
      <c r="H31" s="338"/>
      <c r="I31" s="338"/>
      <c r="L31" s="332"/>
      <c r="M31" s="338"/>
      <c r="N31" s="338"/>
      <c r="O31" s="338"/>
      <c r="P31" s="338"/>
      <c r="Q31" s="338"/>
      <c r="R31" s="338"/>
      <c r="S31" s="338"/>
    </row>
    <row r="35" spans="1:10" ht="15" customHeight="1">
      <c r="A35" s="811"/>
      <c r="B35" s="811"/>
      <c r="C35" s="811"/>
      <c r="D35" s="811"/>
      <c r="E35" s="811"/>
      <c r="F35" s="811"/>
      <c r="G35" s="811"/>
      <c r="H35" s="811"/>
      <c r="I35" s="811"/>
      <c r="J35" s="811"/>
    </row>
    <row r="36" spans="1:10">
      <c r="A36" s="811"/>
      <c r="B36" s="811"/>
      <c r="C36" s="811"/>
      <c r="D36" s="811"/>
      <c r="E36" s="811"/>
      <c r="F36" s="811"/>
      <c r="G36" s="811"/>
      <c r="H36" s="811"/>
      <c r="I36" s="811"/>
      <c r="J36" s="811"/>
    </row>
  </sheetData>
  <sheetProtection algorithmName="SHA-512" hashValue="wqfQ19wDJkSgGrLmFk76oRB1D05FPyOFakZrA2lKntSXd8m8pxyXE/g6rV91kWxxeL1NBpUspI+9n886A3Nz7Q==" saltValue="NjFmSIKqe8CR6bj/qfrrbQ==" spinCount="100000" sheet="1" objects="1" scenarios="1" selectLockedCells="1"/>
  <customSheetViews>
    <customSheetView guid="{88029C9E-0AAA-4AEA-8FBA-3530118F01BF}" showGridLines="0" showRowCol="0" hiddenColumns="1">
      <selection activeCell="F20" sqref="F20"/>
      <pageMargins left="0.7" right="0.7" top="0.78740157499999996" bottom="0.78740157499999996" header="0.3" footer="0.3"/>
    </customSheetView>
  </customSheetViews>
  <mergeCells count="12">
    <mergeCell ref="A35:J36"/>
    <mergeCell ref="L1:S2"/>
    <mergeCell ref="L5:S5"/>
    <mergeCell ref="B18:B19"/>
    <mergeCell ref="C18:D18"/>
    <mergeCell ref="M18:N18"/>
    <mergeCell ref="O18:S18"/>
    <mergeCell ref="J3:K3"/>
    <mergeCell ref="H3:I3"/>
    <mergeCell ref="A1:K2"/>
    <mergeCell ref="A6:C6"/>
    <mergeCell ref="F18:H18"/>
  </mergeCells>
  <printOptions horizontalCentered="1"/>
  <pageMargins left="0.59055118110236227" right="0.59055118110236227" top="0.78740157480314965" bottom="0.74803149606299213" header="0.31496062992125984" footer="0.31496062992125984"/>
  <pageSetup paperSize="9" scale="48" orientation="portrait" horizontalDpi="1200" verticalDpi="1200" r:id="rId1"/>
  <headerFooter alignWithMargins="0">
    <oddHeader>&amp;L&amp;G</oddHeader>
    <oddFooter>&amp;CKnapp GmbH (Austria/Europe) Wassergasse 31 I A-3324 Euratsfeld  
Statik +43 (0) 7474 / 799 10 I statik@knapp-verbinder.com I www.knapp-verbinder.com I France +33 (0)3 88 48 17 87 I france@knapp-connectors.com I  www.knapp-connectors.com/fr</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1000000}">
          <x14:formula1>
            <xm:f>'RICON_RICON-S-EK_GIGANT_WALCO '!$V$7:$V$17</xm:f>
          </x14:formula1>
          <xm:sqref>E5</xm:sqref>
        </x14:dataValidation>
        <x14:dataValidation type="list" allowBlank="1" showInputMessage="1" showErrorMessage="1" xr:uid="{AC58916E-62CE-4786-A1A5-71F3EC17CB1D}">
          <x14:formula1>
            <xm:f>'RICON_Sprachen_DE_EN-FR'!$A$1:$C$1</xm:f>
          </x14:formula1>
          <xm:sqref>K6</xm:sqref>
        </x14:dataValidation>
        <x14:dataValidation type="list" allowBlank="1" showInputMessage="1" showErrorMessage="1" xr:uid="{00000000-0002-0000-0500-000000000000}">
          <x14:formula1>
            <xm:f>'RICON_RICON-S-EK_GIGANT_WALCO '!$V$27:$V$28</xm:f>
          </x14:formula1>
          <xm:sqref>E6</xm:sqref>
        </x14:dataValidation>
        <x14:dataValidation type="list" allowBlank="1" showInputMessage="1" showErrorMessage="1" xr:uid="{706A797F-9820-42FF-9ADA-A1CF349AFFF3}">
          <x14:formula1>
            <xm:f>'RICON_RICON-S-EK_GIGANT_WALCO '!$V$20:$V$23</xm:f>
          </x14:formula1>
          <xm:sqref>B5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0562-1E3F-45ED-ABF0-84B6A0B288FC}">
  <dimension ref="A1:C22"/>
  <sheetViews>
    <sheetView topLeftCell="B1" workbookViewId="0">
      <selection activeCell="C21" sqref="C2:C21"/>
    </sheetView>
  </sheetViews>
  <sheetFormatPr baseColWidth="10" defaultRowHeight="15"/>
  <cols>
    <col min="1" max="3" width="89.140625" customWidth="1"/>
  </cols>
  <sheetData>
    <row r="1" spans="1:3">
      <c r="A1" t="s">
        <v>883</v>
      </c>
      <c r="B1" t="s">
        <v>640</v>
      </c>
      <c r="C1" t="s">
        <v>884</v>
      </c>
    </row>
    <row r="2" spans="1:3">
      <c r="A2" t="s">
        <v>1103</v>
      </c>
      <c r="B2" t="s">
        <v>1196</v>
      </c>
      <c r="C2" t="s">
        <v>1104</v>
      </c>
    </row>
    <row r="3" spans="1:3">
      <c r="A3" t="s">
        <v>1215</v>
      </c>
      <c r="B3" t="s">
        <v>1216</v>
      </c>
      <c r="C3" t="s">
        <v>1365</v>
      </c>
    </row>
    <row r="4" spans="1:3">
      <c r="A4" t="s">
        <v>859</v>
      </c>
      <c r="B4" t="s">
        <v>886</v>
      </c>
      <c r="C4" t="s">
        <v>887</v>
      </c>
    </row>
    <row r="5" spans="1:3">
      <c r="A5" t="s">
        <v>619</v>
      </c>
      <c r="B5" t="s">
        <v>633</v>
      </c>
      <c r="C5" t="s">
        <v>888</v>
      </c>
    </row>
    <row r="6" spans="1:3">
      <c r="A6" t="s">
        <v>853</v>
      </c>
      <c r="B6" t="s">
        <v>1009</v>
      </c>
      <c r="C6" t="s">
        <v>1154</v>
      </c>
    </row>
    <row r="7" spans="1:3">
      <c r="A7" t="s">
        <v>703</v>
      </c>
      <c r="B7" t="s">
        <v>2</v>
      </c>
      <c r="C7" t="s">
        <v>899</v>
      </c>
    </row>
    <row r="8" spans="1:3">
      <c r="A8" t="s">
        <v>901</v>
      </c>
      <c r="B8" s="489" t="s">
        <v>1120</v>
      </c>
      <c r="C8" s="142" t="s">
        <v>903</v>
      </c>
    </row>
    <row r="9" spans="1:3">
      <c r="A9" t="s">
        <v>904</v>
      </c>
      <c r="B9" s="489" t="s">
        <v>423</v>
      </c>
      <c r="C9" t="s">
        <v>905</v>
      </c>
    </row>
    <row r="10" spans="1:3">
      <c r="A10" t="s">
        <v>1240</v>
      </c>
      <c r="B10" t="s">
        <v>1219</v>
      </c>
      <c r="C10" t="s">
        <v>1220</v>
      </c>
    </row>
    <row r="11" spans="1:3" ht="60">
      <c r="A11" s="62" t="s">
        <v>1241</v>
      </c>
      <c r="B11" s="62" t="s">
        <v>1242</v>
      </c>
      <c r="C11" s="62" t="s">
        <v>1243</v>
      </c>
    </row>
    <row r="12" spans="1:3" ht="60">
      <c r="A12" s="61" t="s">
        <v>815</v>
      </c>
      <c r="B12" s="61" t="s">
        <v>1011</v>
      </c>
      <c r="C12" s="61" t="s">
        <v>1155</v>
      </c>
    </row>
    <row r="13" spans="1:3" ht="60">
      <c r="A13" s="61" t="s">
        <v>816</v>
      </c>
      <c r="B13" s="61" t="s">
        <v>1012</v>
      </c>
      <c r="C13" s="61" t="s">
        <v>1156</v>
      </c>
    </row>
    <row r="14" spans="1:3" ht="60">
      <c r="A14" s="61" t="s">
        <v>817</v>
      </c>
      <c r="B14" s="61" t="s">
        <v>1013</v>
      </c>
      <c r="C14" s="61" t="s">
        <v>1157</v>
      </c>
    </row>
    <row r="15" spans="1:3" ht="60">
      <c r="A15" s="61" t="s">
        <v>818</v>
      </c>
      <c r="B15" s="61" t="s">
        <v>1014</v>
      </c>
      <c r="C15" s="61" t="s">
        <v>1158</v>
      </c>
    </row>
    <row r="16" spans="1:3" ht="60">
      <c r="A16" s="61" t="s">
        <v>819</v>
      </c>
      <c r="B16" s="61" t="s">
        <v>1015</v>
      </c>
      <c r="C16" s="61" t="s">
        <v>1159</v>
      </c>
    </row>
    <row r="17" spans="1:3" ht="60">
      <c r="A17" s="61" t="s">
        <v>820</v>
      </c>
      <c r="B17" s="61" t="s">
        <v>1016</v>
      </c>
      <c r="C17" s="61" t="s">
        <v>1160</v>
      </c>
    </row>
    <row r="18" spans="1:3">
      <c r="A18" s="68" t="s">
        <v>939</v>
      </c>
      <c r="B18" s="68" t="s">
        <v>938</v>
      </c>
      <c r="C18" s="68" t="s">
        <v>937</v>
      </c>
    </row>
    <row r="20" spans="1:3">
      <c r="A20" s="68" t="s">
        <v>1131</v>
      </c>
      <c r="B20" s="68"/>
      <c r="C20" s="68"/>
    </row>
    <row r="21" spans="1:3">
      <c r="A21" s="68" t="s">
        <v>1121</v>
      </c>
      <c r="B21" s="68" t="s">
        <v>1126</v>
      </c>
      <c r="C21" s="68" t="s">
        <v>1370</v>
      </c>
    </row>
    <row r="22" spans="1:3">
      <c r="A22" s="68" t="s">
        <v>1122</v>
      </c>
      <c r="B22" s="68" t="s">
        <v>1127</v>
      </c>
      <c r="C22" s="68" t="s">
        <v>1371</v>
      </c>
    </row>
  </sheetData>
  <sheetProtection algorithmName="SHA-512" hashValue="FOi24sh383cT4X/mivnkaFUCL389KQfoszv/UJ7IHZYEFB/evhWlxij3JQUJIMnCufQS7/NkKsSvWtsULhs2eQ==" saltValue="mH+6W0EwM8MnGp2mpmYIIw==" spinCount="100000" sheet="1" objects="1" scenarios="1" selectLockedCells="1"/>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T227"/>
  <sheetViews>
    <sheetView showGridLines="0" showRowColHeaders="0" topLeftCell="K1" workbookViewId="0">
      <selection activeCell="N191" sqref="N191"/>
    </sheetView>
  </sheetViews>
  <sheetFormatPr baseColWidth="10" defaultRowHeight="15"/>
  <cols>
    <col min="1" max="1" width="27.42578125" hidden="1" customWidth="1"/>
    <col min="2" max="2" width="0" hidden="1" customWidth="1"/>
    <col min="3" max="3" width="13.7109375" hidden="1" customWidth="1"/>
    <col min="4" max="10" width="0" hidden="1" customWidth="1"/>
    <col min="11" max="11" width="27.42578125" customWidth="1"/>
    <col min="12" max="12" width="24.85546875" customWidth="1"/>
    <col min="14" max="14" width="13.7109375" customWidth="1"/>
  </cols>
  <sheetData>
    <row r="1" spans="1:19" ht="21" customHeight="1">
      <c r="A1" s="791" t="s">
        <v>396</v>
      </c>
      <c r="B1" s="791"/>
      <c r="C1" s="791"/>
      <c r="D1" s="791"/>
      <c r="E1" s="791"/>
      <c r="F1" s="791"/>
      <c r="G1" s="791"/>
      <c r="H1" s="791"/>
      <c r="K1" s="791" t="s">
        <v>417</v>
      </c>
      <c r="L1" s="791"/>
      <c r="M1" s="791"/>
      <c r="N1" s="791"/>
      <c r="O1" s="791"/>
      <c r="P1" s="791"/>
      <c r="Q1" s="791"/>
      <c r="R1" s="791"/>
      <c r="S1" s="791"/>
    </row>
    <row r="2" spans="1:19" ht="21.6" customHeight="1">
      <c r="A2" s="791"/>
      <c r="B2" s="791"/>
      <c r="C2" s="791"/>
      <c r="D2" s="791"/>
      <c r="E2" s="791"/>
      <c r="F2" s="791"/>
      <c r="G2" s="791"/>
      <c r="H2" s="791"/>
      <c r="K2" s="791"/>
      <c r="L2" s="791"/>
      <c r="M2" s="791"/>
      <c r="N2" s="791"/>
      <c r="O2" s="791"/>
      <c r="P2" s="791"/>
      <c r="Q2" s="791"/>
      <c r="R2" s="791"/>
      <c r="S2" s="791"/>
    </row>
    <row r="3" spans="1:19" ht="21.6" customHeight="1">
      <c r="A3" s="344"/>
      <c r="B3" s="344"/>
      <c r="C3" s="344"/>
      <c r="D3" s="344"/>
      <c r="E3" s="344"/>
      <c r="F3" s="344"/>
      <c r="G3" s="344"/>
      <c r="H3" s="344"/>
      <c r="K3" s="344"/>
      <c r="L3" s="344"/>
      <c r="M3" s="344"/>
      <c r="N3" s="344"/>
      <c r="O3" s="344"/>
      <c r="P3" s="344"/>
      <c r="Q3" s="344"/>
      <c r="R3" s="344"/>
      <c r="S3" s="344"/>
    </row>
    <row r="4" spans="1:19" ht="18.75">
      <c r="A4" s="792" t="s">
        <v>441</v>
      </c>
      <c r="B4" s="792"/>
      <c r="C4" s="792"/>
      <c r="D4" s="792"/>
      <c r="E4" s="792"/>
      <c r="F4" s="792"/>
      <c r="G4" s="792"/>
      <c r="H4" s="792"/>
      <c r="K4" s="362" t="s">
        <v>442</v>
      </c>
      <c r="L4" s="362"/>
      <c r="M4" s="362"/>
      <c r="N4" s="362"/>
      <c r="O4" s="362"/>
      <c r="P4" s="362"/>
      <c r="Q4" s="362"/>
      <c r="R4" s="362"/>
      <c r="S4" s="362"/>
    </row>
    <row r="5" spans="1:19" ht="18.75">
      <c r="A5" s="339" t="s">
        <v>475</v>
      </c>
      <c r="K5" s="339" t="s">
        <v>418</v>
      </c>
      <c r="L5" s="339"/>
    </row>
    <row r="8" spans="1:19" ht="21.6" customHeight="1">
      <c r="A8" s="344"/>
      <c r="B8" s="344"/>
      <c r="C8" s="344"/>
      <c r="D8" s="344"/>
      <c r="E8" s="344"/>
      <c r="F8" s="344"/>
      <c r="G8" s="344"/>
      <c r="H8" s="344"/>
      <c r="K8" s="344"/>
      <c r="L8" s="344"/>
      <c r="M8" s="344"/>
      <c r="N8" s="344"/>
      <c r="O8" s="344"/>
      <c r="P8" s="344"/>
      <c r="Q8" s="344"/>
      <c r="R8" s="344"/>
      <c r="S8" s="344"/>
    </row>
    <row r="9" spans="1:19" ht="21.6" customHeight="1">
      <c r="A9" s="344"/>
      <c r="B9" s="344"/>
      <c r="C9" s="344"/>
      <c r="D9" s="344"/>
      <c r="E9" s="344"/>
      <c r="F9" s="344"/>
      <c r="G9" s="344"/>
      <c r="H9" s="344"/>
      <c r="K9" s="344"/>
      <c r="L9" s="344"/>
      <c r="M9" s="344"/>
      <c r="N9" s="344"/>
      <c r="O9" s="344"/>
      <c r="P9" s="344"/>
      <c r="Q9" s="344"/>
      <c r="R9" s="344"/>
      <c r="S9" s="344"/>
    </row>
    <row r="10" spans="1:19" ht="21.6" customHeight="1">
      <c r="A10" s="344"/>
      <c r="B10" s="344"/>
      <c r="C10" s="344"/>
      <c r="D10" s="344"/>
      <c r="E10" s="344"/>
      <c r="F10" s="344"/>
      <c r="G10" s="344"/>
      <c r="H10" s="344"/>
      <c r="K10" s="344"/>
      <c r="L10" s="344"/>
      <c r="M10" s="344"/>
      <c r="N10" s="344"/>
      <c r="O10" s="344"/>
      <c r="P10" s="344"/>
      <c r="Q10" s="344"/>
      <c r="R10" s="344"/>
      <c r="S10" s="344"/>
    </row>
    <row r="11" spans="1:19" ht="21.6" customHeight="1">
      <c r="A11" s="344"/>
      <c r="B11" s="344"/>
      <c r="C11" s="344"/>
      <c r="D11" s="344"/>
      <c r="E11" s="344"/>
      <c r="F11" s="344"/>
      <c r="G11" s="344"/>
      <c r="H11" s="344"/>
      <c r="K11" s="344"/>
      <c r="L11" s="344"/>
      <c r="M11" s="344"/>
      <c r="N11" s="344"/>
      <c r="O11" s="344"/>
      <c r="P11" s="344"/>
      <c r="Q11" s="344"/>
      <c r="R11" s="344"/>
      <c r="S11" s="344"/>
    </row>
    <row r="12" spans="1:19" ht="21.6" customHeight="1">
      <c r="A12" s="344"/>
      <c r="B12" s="344"/>
      <c r="C12" s="344"/>
      <c r="D12" s="344"/>
      <c r="E12" s="344"/>
      <c r="F12" s="344"/>
      <c r="G12" s="344"/>
      <c r="H12" s="344"/>
      <c r="K12" s="344"/>
      <c r="L12" s="344"/>
      <c r="M12" s="344"/>
      <c r="N12" s="344"/>
      <c r="O12" s="344"/>
      <c r="P12" s="344"/>
      <c r="Q12" s="344"/>
      <c r="R12" s="344"/>
      <c r="S12" s="344"/>
    </row>
    <row r="13" spans="1:19" ht="21.6" customHeight="1">
      <c r="A13" s="344"/>
      <c r="B13" s="344"/>
      <c r="C13" s="344"/>
      <c r="D13" s="344"/>
      <c r="E13" s="344"/>
      <c r="F13" s="344"/>
      <c r="G13" s="344"/>
      <c r="H13" s="344"/>
      <c r="K13" s="344"/>
      <c r="L13" s="344"/>
      <c r="M13" s="344"/>
      <c r="N13" s="344"/>
      <c r="O13" s="344"/>
      <c r="P13" s="344"/>
      <c r="Q13" s="344"/>
      <c r="R13" s="344"/>
      <c r="S13" s="344"/>
    </row>
    <row r="14" spans="1:19" ht="18.75">
      <c r="A14" s="339"/>
      <c r="K14" s="339"/>
      <c r="L14" s="339"/>
    </row>
    <row r="15" spans="1:19" ht="21">
      <c r="A15" s="337" t="s">
        <v>383</v>
      </c>
      <c r="K15" s="337" t="s">
        <v>447</v>
      </c>
      <c r="L15" s="337"/>
    </row>
    <row r="16" spans="1:19" ht="15" customHeight="1">
      <c r="A16" s="3" t="s">
        <v>386</v>
      </c>
      <c r="B16" s="664" t="s">
        <v>387</v>
      </c>
      <c r="C16" s="666"/>
      <c r="D16" s="664" t="s">
        <v>394</v>
      </c>
      <c r="E16" s="665"/>
      <c r="F16" s="665"/>
      <c r="G16" s="665"/>
      <c r="H16" s="666"/>
      <c r="K16" s="3" t="s">
        <v>419</v>
      </c>
      <c r="L16" s="356" t="s">
        <v>581</v>
      </c>
      <c r="M16" s="793" t="s">
        <v>423</v>
      </c>
      <c r="N16" s="793"/>
      <c r="O16" s="664" t="s">
        <v>421</v>
      </c>
      <c r="P16" s="665"/>
      <c r="Q16" s="665"/>
      <c r="R16" s="665"/>
      <c r="S16" s="666"/>
    </row>
    <row r="17" spans="1:19" ht="15" customHeight="1">
      <c r="A17" s="7" t="s">
        <v>391</v>
      </c>
      <c r="B17" s="41" t="s">
        <v>384</v>
      </c>
      <c r="C17" s="41" t="s">
        <v>385</v>
      </c>
      <c r="D17" s="87">
        <v>0.6</v>
      </c>
      <c r="E17" s="87">
        <v>0.7</v>
      </c>
      <c r="F17" s="87">
        <v>0.8</v>
      </c>
      <c r="G17" s="87">
        <v>0.9</v>
      </c>
      <c r="H17" s="87">
        <v>1</v>
      </c>
      <c r="K17" s="7" t="s">
        <v>420</v>
      </c>
      <c r="L17" s="354" t="s">
        <v>580</v>
      </c>
      <c r="M17" s="41" t="s">
        <v>384</v>
      </c>
      <c r="N17" s="41" t="s">
        <v>385</v>
      </c>
      <c r="O17" s="87">
        <v>0.6</v>
      </c>
      <c r="P17" s="87">
        <v>0.7</v>
      </c>
      <c r="Q17" s="87">
        <v>0.8</v>
      </c>
      <c r="R17" s="87">
        <v>0.9</v>
      </c>
      <c r="S17" s="87">
        <v>1</v>
      </c>
    </row>
    <row r="18" spans="1:19" ht="45">
      <c r="A18" s="62" t="s">
        <v>476</v>
      </c>
      <c r="B18" s="279">
        <f>'RICON_RICON-S-EK_GIGANT_WALCO '!C190</f>
        <v>6</v>
      </c>
      <c r="C18" s="279">
        <f>'RICON_RICON-S-EK_GIGANT_WALCO '!F190</f>
        <v>5.0131385975895597</v>
      </c>
      <c r="D18" s="279">
        <f t="shared" ref="D18:H30" si="0">MIN($B18/1,$C18*D$17/1.3)</f>
        <v>2.3137562758105656</v>
      </c>
      <c r="E18" s="279">
        <f t="shared" si="0"/>
        <v>2.6993823217789936</v>
      </c>
      <c r="F18" s="279">
        <f t="shared" si="0"/>
        <v>3.0850083677474216</v>
      </c>
      <c r="G18" s="279">
        <f t="shared" si="0"/>
        <v>3.4706344137158487</v>
      </c>
      <c r="H18" s="279">
        <f t="shared" si="0"/>
        <v>3.8562604596842767</v>
      </c>
      <c r="K18" s="62" t="s">
        <v>477</v>
      </c>
      <c r="L18" s="350" t="s">
        <v>459</v>
      </c>
      <c r="M18" s="279">
        <f>'RICON_RICON-S-EK_GIGANT_WALCO '!C190</f>
        <v>6</v>
      </c>
      <c r="N18" s="279">
        <f>'RICON_RICON-S-EK_GIGANT_WALCO '!F190</f>
        <v>5.0131385975895597</v>
      </c>
      <c r="O18" s="279">
        <f t="shared" ref="O18:S30" si="1">MIN($B18/1,$C18*O$17/1.3)</f>
        <v>2.3137562758105656</v>
      </c>
      <c r="P18" s="279">
        <f t="shared" si="1"/>
        <v>2.6993823217789936</v>
      </c>
      <c r="Q18" s="279">
        <f t="shared" si="1"/>
        <v>3.0850083677474216</v>
      </c>
      <c r="R18" s="279">
        <f t="shared" si="1"/>
        <v>3.4706344137158487</v>
      </c>
      <c r="S18" s="279">
        <f t="shared" si="1"/>
        <v>3.8562604596842767</v>
      </c>
    </row>
    <row r="19" spans="1:19" ht="45">
      <c r="A19" s="62" t="s">
        <v>478</v>
      </c>
      <c r="B19" s="279">
        <f>'RICON_RICON-S-EK_GIGANT_WALCO '!C191</f>
        <v>11</v>
      </c>
      <c r="C19" s="279">
        <f>'RICON_RICON-S-EK_GIGANT_WALCO '!F191</f>
        <v>7.2988007866232749</v>
      </c>
      <c r="D19" s="279">
        <f t="shared" si="0"/>
        <v>3.3686772861338188</v>
      </c>
      <c r="E19" s="279">
        <f t="shared" si="0"/>
        <v>3.9301235004894552</v>
      </c>
      <c r="F19" s="279">
        <f t="shared" si="0"/>
        <v>4.4915697148450926</v>
      </c>
      <c r="G19" s="279">
        <f t="shared" si="0"/>
        <v>5.0530159292007291</v>
      </c>
      <c r="H19" s="279">
        <f t="shared" si="0"/>
        <v>5.6144621435563655</v>
      </c>
      <c r="K19" s="62" t="s">
        <v>479</v>
      </c>
      <c r="L19" s="350" t="s">
        <v>613</v>
      </c>
      <c r="M19" s="279">
        <f>'RICON_RICON-S-EK_GIGANT_WALCO '!C191</f>
        <v>11</v>
      </c>
      <c r="N19" s="279">
        <f>'RICON_RICON-S-EK_GIGANT_WALCO '!F191</f>
        <v>7.2988007866232749</v>
      </c>
      <c r="O19" s="279">
        <f t="shared" si="1"/>
        <v>3.3686772861338188</v>
      </c>
      <c r="P19" s="279">
        <f t="shared" si="1"/>
        <v>3.9301235004894552</v>
      </c>
      <c r="Q19" s="279">
        <f t="shared" si="1"/>
        <v>4.4915697148450926</v>
      </c>
      <c r="R19" s="279">
        <f t="shared" si="1"/>
        <v>5.0530159292007291</v>
      </c>
      <c r="S19" s="279">
        <f t="shared" si="1"/>
        <v>5.6144621435563655</v>
      </c>
    </row>
    <row r="20" spans="1:19" ht="45">
      <c r="A20" s="62" t="s">
        <v>480</v>
      </c>
      <c r="B20" s="279">
        <f>'RICON_RICON-S-EK_GIGANT_WALCO '!C192</f>
        <v>14</v>
      </c>
      <c r="C20" s="279">
        <f>'RICON_RICON-S-EK_GIGANT_WALCO '!F192</f>
        <v>10.026277195179119</v>
      </c>
      <c r="D20" s="279">
        <f t="shared" si="0"/>
        <v>4.6275125516211313</v>
      </c>
      <c r="E20" s="279">
        <f t="shared" si="0"/>
        <v>5.3987646435579872</v>
      </c>
      <c r="F20" s="279">
        <f t="shared" si="0"/>
        <v>6.1700167354948432</v>
      </c>
      <c r="G20" s="279">
        <f t="shared" si="0"/>
        <v>6.9412688274316974</v>
      </c>
      <c r="H20" s="279">
        <f t="shared" si="0"/>
        <v>7.7125209193685533</v>
      </c>
      <c r="K20" s="62" t="s">
        <v>481</v>
      </c>
      <c r="L20" s="350" t="s">
        <v>463</v>
      </c>
      <c r="M20" s="279">
        <f>'RICON_RICON-S-EK_GIGANT_WALCO '!C192</f>
        <v>14</v>
      </c>
      <c r="N20" s="279">
        <f>'RICON_RICON-S-EK_GIGANT_WALCO '!F192</f>
        <v>10.026277195179119</v>
      </c>
      <c r="O20" s="279">
        <f t="shared" si="1"/>
        <v>4.6275125516211313</v>
      </c>
      <c r="P20" s="279">
        <f t="shared" si="1"/>
        <v>5.3987646435579872</v>
      </c>
      <c r="Q20" s="279">
        <f t="shared" si="1"/>
        <v>6.1700167354948432</v>
      </c>
      <c r="R20" s="279">
        <f t="shared" si="1"/>
        <v>6.9412688274316974</v>
      </c>
      <c r="S20" s="279">
        <f t="shared" si="1"/>
        <v>7.7125209193685533</v>
      </c>
    </row>
    <row r="21" spans="1:19" ht="45">
      <c r="A21" s="62" t="s">
        <v>482</v>
      </c>
      <c r="B21" s="279">
        <f>'RICON_RICON-S-EK_GIGANT_WALCO '!C193</f>
        <v>18</v>
      </c>
      <c r="C21" s="279">
        <f>'RICON_RICON-S-EK_GIGANT_WALCO '!F193</f>
        <v>12.753753603734964</v>
      </c>
      <c r="D21" s="279">
        <f t="shared" si="0"/>
        <v>5.8863478171084447</v>
      </c>
      <c r="E21" s="279">
        <f t="shared" si="0"/>
        <v>6.8674057866265183</v>
      </c>
      <c r="F21" s="279">
        <f t="shared" si="0"/>
        <v>7.8484637561445938</v>
      </c>
      <c r="G21" s="279">
        <f t="shared" si="0"/>
        <v>8.8295217256626675</v>
      </c>
      <c r="H21" s="279">
        <f t="shared" si="0"/>
        <v>9.810579695180742</v>
      </c>
      <c r="K21" s="62" t="s">
        <v>483</v>
      </c>
      <c r="L21" s="350" t="s">
        <v>464</v>
      </c>
      <c r="M21" s="279">
        <f>'RICON_RICON-S-EK_GIGANT_WALCO '!C193</f>
        <v>18</v>
      </c>
      <c r="N21" s="279">
        <f>'RICON_RICON-S-EK_GIGANT_WALCO '!F193</f>
        <v>12.753753603734964</v>
      </c>
      <c r="O21" s="279">
        <f t="shared" si="1"/>
        <v>5.8863478171084447</v>
      </c>
      <c r="P21" s="279">
        <f t="shared" si="1"/>
        <v>6.8674057866265183</v>
      </c>
      <c r="Q21" s="279">
        <f t="shared" si="1"/>
        <v>7.8484637561445938</v>
      </c>
      <c r="R21" s="279">
        <f t="shared" si="1"/>
        <v>8.8295217256626675</v>
      </c>
      <c r="S21" s="279">
        <f t="shared" si="1"/>
        <v>9.810579695180742</v>
      </c>
    </row>
    <row r="22" spans="1:19" ht="45">
      <c r="A22" s="62" t="s">
        <v>484</v>
      </c>
      <c r="B22" s="279">
        <f>'RICON_RICON-S-EK_GIGANT_WALCO '!C194</f>
        <v>18</v>
      </c>
      <c r="C22" s="279">
        <f>'RICON_RICON-S-EK_GIGANT_WALCO '!F194</f>
        <v>15.481230012290808</v>
      </c>
      <c r="D22" s="279">
        <f t="shared" si="0"/>
        <v>7.1451830825957581</v>
      </c>
      <c r="E22" s="279">
        <f t="shared" si="0"/>
        <v>8.3360469296950495</v>
      </c>
      <c r="F22" s="279">
        <f t="shared" si="0"/>
        <v>9.5269107767943435</v>
      </c>
      <c r="G22" s="279">
        <f t="shared" si="0"/>
        <v>10.717774623893636</v>
      </c>
      <c r="H22" s="279">
        <f t="shared" si="0"/>
        <v>11.90863847099293</v>
      </c>
      <c r="K22" s="62" t="s">
        <v>485</v>
      </c>
      <c r="L22" s="350" t="s">
        <v>465</v>
      </c>
      <c r="M22" s="279">
        <f>'RICON_RICON-S-EK_GIGANT_WALCO '!C194</f>
        <v>18</v>
      </c>
      <c r="N22" s="279">
        <f>'RICON_RICON-S-EK_GIGANT_WALCO '!F194</f>
        <v>15.481230012290808</v>
      </c>
      <c r="O22" s="279">
        <f t="shared" si="1"/>
        <v>7.1451830825957581</v>
      </c>
      <c r="P22" s="279">
        <f t="shared" si="1"/>
        <v>8.3360469296950495</v>
      </c>
      <c r="Q22" s="279">
        <f t="shared" si="1"/>
        <v>9.5269107767943435</v>
      </c>
      <c r="R22" s="279">
        <f t="shared" si="1"/>
        <v>10.717774623893636</v>
      </c>
      <c r="S22" s="279">
        <f t="shared" si="1"/>
        <v>11.90863847099293</v>
      </c>
    </row>
    <row r="23" spans="1:19" ht="45">
      <c r="A23" s="62" t="s">
        <v>486</v>
      </c>
      <c r="B23" s="279">
        <f>'RICON_RICON-S-EK_GIGANT_WALCO '!C195</f>
        <v>18</v>
      </c>
      <c r="C23" s="279">
        <f>'RICON_RICON-S-EK_GIGANT_WALCO '!F195</f>
        <v>18.208706420846653</v>
      </c>
      <c r="D23" s="279">
        <f t="shared" si="0"/>
        <v>8.4040183480830706</v>
      </c>
      <c r="E23" s="279">
        <f t="shared" si="0"/>
        <v>9.8046880727635806</v>
      </c>
      <c r="F23" s="279">
        <f t="shared" si="0"/>
        <v>11.205357797444094</v>
      </c>
      <c r="G23" s="279">
        <f t="shared" si="0"/>
        <v>12.606027522124606</v>
      </c>
      <c r="H23" s="279">
        <f t="shared" si="0"/>
        <v>14.006697246805118</v>
      </c>
      <c r="K23" s="62" t="s">
        <v>487</v>
      </c>
      <c r="L23" s="350" t="s">
        <v>451</v>
      </c>
      <c r="M23" s="279">
        <f>'RICON_RICON-S-EK_GIGANT_WALCO '!C195</f>
        <v>18</v>
      </c>
      <c r="N23" s="279">
        <f>'RICON_RICON-S-EK_GIGANT_WALCO '!F195</f>
        <v>18.208706420846653</v>
      </c>
      <c r="O23" s="279">
        <f t="shared" si="1"/>
        <v>8.4040183480830706</v>
      </c>
      <c r="P23" s="279">
        <f t="shared" si="1"/>
        <v>9.8046880727635806</v>
      </c>
      <c r="Q23" s="279">
        <f t="shared" si="1"/>
        <v>11.205357797444094</v>
      </c>
      <c r="R23" s="279">
        <f t="shared" si="1"/>
        <v>12.606027522124606</v>
      </c>
      <c r="S23" s="279">
        <f t="shared" si="1"/>
        <v>14.006697246805118</v>
      </c>
    </row>
    <row r="24" spans="1:19" ht="45">
      <c r="A24" s="256" t="s">
        <v>488</v>
      </c>
      <c r="B24" s="279">
        <f>'RICON_RICON-S-EK_GIGANT_WALCO '!C198</f>
        <v>18</v>
      </c>
      <c r="C24" s="279">
        <f>'RICON_RICON-S-EK_GIGANT_WALCO '!F198</f>
        <v>19.321640441339383</v>
      </c>
      <c r="D24" s="279">
        <f t="shared" si="0"/>
        <v>8.9176802036950988</v>
      </c>
      <c r="E24" s="279">
        <f t="shared" si="0"/>
        <v>10.403960237644283</v>
      </c>
      <c r="F24" s="279">
        <f t="shared" si="0"/>
        <v>11.890240271593468</v>
      </c>
      <c r="G24" s="279">
        <f t="shared" si="0"/>
        <v>13.37652030554265</v>
      </c>
      <c r="H24" s="279">
        <f t="shared" si="0"/>
        <v>14.862800339491832</v>
      </c>
      <c r="K24" s="256" t="s">
        <v>489</v>
      </c>
      <c r="L24" s="350" t="s">
        <v>465</v>
      </c>
      <c r="M24" s="279">
        <f>'RICON_RICON-S-EK_GIGANT_WALCO '!C198</f>
        <v>18</v>
      </c>
      <c r="N24" s="279">
        <f>'RICON_RICON-S-EK_GIGANT_WALCO '!F198</f>
        <v>19.321640441339383</v>
      </c>
      <c r="O24" s="279">
        <f t="shared" si="1"/>
        <v>8.9176802036950988</v>
      </c>
      <c r="P24" s="279">
        <f t="shared" si="1"/>
        <v>10.403960237644283</v>
      </c>
      <c r="Q24" s="279">
        <f t="shared" si="1"/>
        <v>11.890240271593468</v>
      </c>
      <c r="R24" s="279">
        <f t="shared" si="1"/>
        <v>13.37652030554265</v>
      </c>
      <c r="S24" s="279">
        <f t="shared" si="1"/>
        <v>14.862800339491832</v>
      </c>
    </row>
    <row r="25" spans="1:19" ht="45">
      <c r="A25" s="256" t="s">
        <v>490</v>
      </c>
      <c r="B25" s="279">
        <f>'RICON_RICON-S-EK_GIGANT_WALCO '!C199</f>
        <v>18</v>
      </c>
      <c r="C25" s="279">
        <f>'RICON_RICON-S-EK_GIGANT_WALCO '!F199</f>
        <v>22.049116849895228</v>
      </c>
      <c r="D25" s="279">
        <f t="shared" si="0"/>
        <v>10.176515469182412</v>
      </c>
      <c r="E25" s="279">
        <f t="shared" si="0"/>
        <v>11.872601380712814</v>
      </c>
      <c r="F25" s="279">
        <f t="shared" si="0"/>
        <v>13.568687292243217</v>
      </c>
      <c r="G25" s="279">
        <f t="shared" si="0"/>
        <v>15.264773203773618</v>
      </c>
      <c r="H25" s="279">
        <f t="shared" si="0"/>
        <v>16.960859115304022</v>
      </c>
      <c r="K25" s="256" t="s">
        <v>491</v>
      </c>
      <c r="L25" s="350" t="s">
        <v>451</v>
      </c>
      <c r="M25" s="279">
        <f>'RICON_RICON-S-EK_GIGANT_WALCO '!C199</f>
        <v>18</v>
      </c>
      <c r="N25" s="279">
        <f>'RICON_RICON-S-EK_GIGANT_WALCO '!F199</f>
        <v>22.049116849895228</v>
      </c>
      <c r="O25" s="279">
        <f t="shared" si="1"/>
        <v>10.176515469182412</v>
      </c>
      <c r="P25" s="279">
        <f t="shared" si="1"/>
        <v>11.872601380712814</v>
      </c>
      <c r="Q25" s="279">
        <f t="shared" si="1"/>
        <v>13.568687292243217</v>
      </c>
      <c r="R25" s="279">
        <f t="shared" si="1"/>
        <v>15.264773203773618</v>
      </c>
      <c r="S25" s="279">
        <f t="shared" si="1"/>
        <v>16.960859115304022</v>
      </c>
    </row>
    <row r="26" spans="1:19" ht="45">
      <c r="A26" s="62" t="s">
        <v>492</v>
      </c>
      <c r="B26" s="279">
        <f>'RICON_RICON-S-EK_GIGANT_WALCO '!C200</f>
        <v>11</v>
      </c>
      <c r="C26" s="279">
        <f>'RICON_RICON-S-EK_GIGANT_WALCO '!F200</f>
        <v>12.311939384212835</v>
      </c>
      <c r="D26" s="279">
        <f t="shared" si="0"/>
        <v>5.6824335619443849</v>
      </c>
      <c r="E26" s="279">
        <f t="shared" si="0"/>
        <v>6.6295058222684489</v>
      </c>
      <c r="F26" s="279">
        <f t="shared" si="0"/>
        <v>7.5765780825925138</v>
      </c>
      <c r="G26" s="279">
        <f t="shared" si="0"/>
        <v>8.5236503429165786</v>
      </c>
      <c r="H26" s="279">
        <f t="shared" si="0"/>
        <v>9.4707226032406417</v>
      </c>
      <c r="K26" s="62" t="s">
        <v>493</v>
      </c>
      <c r="L26" s="350" t="s">
        <v>451</v>
      </c>
      <c r="M26" s="279">
        <f>'RICON_RICON-S-EK_GIGANT_WALCO '!C200</f>
        <v>11</v>
      </c>
      <c r="N26" s="279">
        <f>'RICON_RICON-S-EK_GIGANT_WALCO '!F200</f>
        <v>12.311939384212835</v>
      </c>
      <c r="O26" s="279">
        <f t="shared" si="1"/>
        <v>5.6824335619443849</v>
      </c>
      <c r="P26" s="279">
        <f t="shared" si="1"/>
        <v>6.6295058222684489</v>
      </c>
      <c r="Q26" s="279">
        <f t="shared" si="1"/>
        <v>7.5765780825925138</v>
      </c>
      <c r="R26" s="279">
        <f t="shared" si="1"/>
        <v>8.5236503429165786</v>
      </c>
      <c r="S26" s="279">
        <f t="shared" si="1"/>
        <v>9.4707226032406417</v>
      </c>
    </row>
    <row r="27" spans="1:19" ht="45">
      <c r="A27" s="62" t="s">
        <v>494</v>
      </c>
      <c r="B27" s="279">
        <f>'RICON_RICON-S-EK_GIGANT_WALCO '!C201</f>
        <v>14</v>
      </c>
      <c r="C27" s="279">
        <f>'RICON_RICON-S-EK_GIGANT_WALCO '!F201</f>
        <v>17.766892201324524</v>
      </c>
      <c r="D27" s="279">
        <f t="shared" si="0"/>
        <v>8.2001040929190108</v>
      </c>
      <c r="E27" s="279">
        <f t="shared" si="0"/>
        <v>9.5667881084055111</v>
      </c>
      <c r="F27" s="279">
        <f t="shared" si="0"/>
        <v>10.933472123892015</v>
      </c>
      <c r="G27" s="279">
        <f t="shared" si="0"/>
        <v>12.300156139378517</v>
      </c>
      <c r="H27" s="279">
        <f t="shared" si="0"/>
        <v>13.666840154865017</v>
      </c>
      <c r="K27" s="62" t="s">
        <v>495</v>
      </c>
      <c r="L27" s="350" t="s">
        <v>452</v>
      </c>
      <c r="M27" s="279">
        <f>'RICON_RICON-S-EK_GIGANT_WALCO '!C201</f>
        <v>14</v>
      </c>
      <c r="N27" s="279">
        <f>'RICON_RICON-S-EK_GIGANT_WALCO '!F201</f>
        <v>17.766892201324524</v>
      </c>
      <c r="O27" s="279">
        <f t="shared" si="1"/>
        <v>8.2001040929190108</v>
      </c>
      <c r="P27" s="279">
        <f t="shared" si="1"/>
        <v>9.5667881084055111</v>
      </c>
      <c r="Q27" s="279">
        <f t="shared" si="1"/>
        <v>10.933472123892015</v>
      </c>
      <c r="R27" s="279">
        <f t="shared" si="1"/>
        <v>12.300156139378517</v>
      </c>
      <c r="S27" s="279">
        <f t="shared" si="1"/>
        <v>13.666840154865017</v>
      </c>
    </row>
    <row r="28" spans="1:19" ht="45">
      <c r="A28" s="62" t="s">
        <v>496</v>
      </c>
      <c r="B28" s="279">
        <f>'RICON_RICON-S-EK_GIGANT_WALCO '!C202</f>
        <v>18</v>
      </c>
      <c r="C28" s="279">
        <f>'RICON_RICON-S-EK_GIGANT_WALCO '!F202</f>
        <v>23.221845018436213</v>
      </c>
      <c r="D28" s="279">
        <f t="shared" si="0"/>
        <v>10.717774623893636</v>
      </c>
      <c r="E28" s="279">
        <f t="shared" si="0"/>
        <v>12.504070394542575</v>
      </c>
      <c r="F28" s="279">
        <f t="shared" si="0"/>
        <v>14.290366165191516</v>
      </c>
      <c r="G28" s="279">
        <f t="shared" si="0"/>
        <v>16.076661935840455</v>
      </c>
      <c r="H28" s="279">
        <f t="shared" si="0"/>
        <v>17.862957706489393</v>
      </c>
      <c r="K28" s="62" t="s">
        <v>497</v>
      </c>
      <c r="L28" s="350" t="s">
        <v>453</v>
      </c>
      <c r="M28" s="279">
        <f>'RICON_RICON-S-EK_GIGANT_WALCO '!C202</f>
        <v>18</v>
      </c>
      <c r="N28" s="279">
        <f>'RICON_RICON-S-EK_GIGANT_WALCO '!F202</f>
        <v>23.221845018436213</v>
      </c>
      <c r="O28" s="279">
        <f t="shared" si="1"/>
        <v>10.717774623893636</v>
      </c>
      <c r="P28" s="279">
        <f t="shared" si="1"/>
        <v>12.504070394542575</v>
      </c>
      <c r="Q28" s="279">
        <f t="shared" si="1"/>
        <v>14.290366165191516</v>
      </c>
      <c r="R28" s="279">
        <f t="shared" si="1"/>
        <v>16.076661935840455</v>
      </c>
      <c r="S28" s="279">
        <f t="shared" si="1"/>
        <v>17.862957706489393</v>
      </c>
    </row>
    <row r="29" spans="1:19" ht="45">
      <c r="A29" s="62" t="s">
        <v>498</v>
      </c>
      <c r="B29" s="279">
        <f>'RICON_RICON-S-EK_GIGANT_WALCO '!C203</f>
        <v>18</v>
      </c>
      <c r="C29" s="279">
        <f>'RICON_RICON-S-EK_GIGANT_WALCO '!F203</f>
        <v>28.676797835547902</v>
      </c>
      <c r="D29" s="279">
        <f t="shared" si="0"/>
        <v>13.235445154868261</v>
      </c>
      <c r="E29" s="279">
        <f t="shared" si="0"/>
        <v>15.441352680679639</v>
      </c>
      <c r="F29" s="279">
        <f t="shared" si="0"/>
        <v>17.647260206491016</v>
      </c>
      <c r="G29" s="279">
        <f t="shared" si="0"/>
        <v>18</v>
      </c>
      <c r="H29" s="279">
        <f t="shared" si="0"/>
        <v>18</v>
      </c>
      <c r="K29" s="62" t="s">
        <v>499</v>
      </c>
      <c r="L29" s="350" t="s">
        <v>454</v>
      </c>
      <c r="M29" s="279">
        <f>'RICON_RICON-S-EK_GIGANT_WALCO '!C203</f>
        <v>18</v>
      </c>
      <c r="N29" s="279">
        <f>'RICON_RICON-S-EK_GIGANT_WALCO '!F203</f>
        <v>28.676797835547902</v>
      </c>
      <c r="O29" s="279">
        <f t="shared" si="1"/>
        <v>13.235445154868261</v>
      </c>
      <c r="P29" s="279">
        <f t="shared" si="1"/>
        <v>15.441352680679639</v>
      </c>
      <c r="Q29" s="279">
        <f t="shared" si="1"/>
        <v>17.647260206491016</v>
      </c>
      <c r="R29" s="279">
        <f t="shared" si="1"/>
        <v>18</v>
      </c>
      <c r="S29" s="279">
        <f t="shared" si="1"/>
        <v>18</v>
      </c>
    </row>
    <row r="30" spans="1:19" ht="45">
      <c r="A30" s="62" t="s">
        <v>500</v>
      </c>
      <c r="B30" s="279">
        <f>'RICON_RICON-S-EK_GIGANT_WALCO '!C204</f>
        <v>18</v>
      </c>
      <c r="C30" s="279">
        <f>'RICON_RICON-S-EK_GIGANT_WALCO '!F204</f>
        <v>34.131750652659591</v>
      </c>
      <c r="D30" s="279">
        <f t="shared" si="0"/>
        <v>15.753115685842886</v>
      </c>
      <c r="E30" s="279">
        <f t="shared" si="0"/>
        <v>18</v>
      </c>
      <c r="F30" s="279">
        <f t="shared" si="0"/>
        <v>18</v>
      </c>
      <c r="G30" s="279">
        <f t="shared" si="0"/>
        <v>18</v>
      </c>
      <c r="H30" s="279">
        <f t="shared" si="0"/>
        <v>18</v>
      </c>
      <c r="K30" s="62" t="s">
        <v>501</v>
      </c>
      <c r="L30" s="350" t="s">
        <v>455</v>
      </c>
      <c r="M30" s="279">
        <f>'RICON_RICON-S-EK_GIGANT_WALCO '!C204</f>
        <v>18</v>
      </c>
      <c r="N30" s="279">
        <f>'RICON_RICON-S-EK_GIGANT_WALCO '!F204</f>
        <v>34.131750652659591</v>
      </c>
      <c r="O30" s="279">
        <f t="shared" si="1"/>
        <v>15.753115685842886</v>
      </c>
      <c r="P30" s="279">
        <f t="shared" si="1"/>
        <v>18</v>
      </c>
      <c r="Q30" s="279">
        <f t="shared" si="1"/>
        <v>18</v>
      </c>
      <c r="R30" s="279">
        <f t="shared" si="1"/>
        <v>18</v>
      </c>
      <c r="S30" s="279">
        <f t="shared" si="1"/>
        <v>18</v>
      </c>
    </row>
    <row r="31" spans="1:19">
      <c r="A31" s="68"/>
      <c r="B31" s="338"/>
      <c r="C31" s="338"/>
      <c r="D31" s="338"/>
      <c r="E31" s="338"/>
      <c r="F31" s="338"/>
      <c r="G31" s="338"/>
      <c r="H31" s="338"/>
      <c r="K31" s="68"/>
      <c r="L31" s="68"/>
      <c r="M31" s="338"/>
      <c r="N31" s="338"/>
      <c r="O31" s="338"/>
      <c r="P31" s="338"/>
      <c r="Q31" s="338"/>
      <c r="R31" s="338"/>
      <c r="S31" s="338"/>
    </row>
    <row r="32" spans="1:19">
      <c r="A32" s="68"/>
      <c r="B32" s="338"/>
      <c r="C32" s="338"/>
      <c r="D32" s="338"/>
      <c r="E32" s="338"/>
      <c r="F32" s="338"/>
      <c r="G32" s="338"/>
      <c r="H32" s="338"/>
      <c r="K32" s="68"/>
      <c r="L32" s="68"/>
      <c r="M32" s="338"/>
      <c r="N32" s="338"/>
      <c r="O32" s="338"/>
      <c r="P32" s="338"/>
      <c r="Q32" s="338"/>
      <c r="R32" s="338"/>
      <c r="S32" s="338"/>
    </row>
    <row r="33" spans="1:19">
      <c r="A33" s="68"/>
      <c r="B33" s="338"/>
      <c r="C33" s="338"/>
      <c r="D33" s="338"/>
      <c r="E33" s="338"/>
      <c r="F33" s="338"/>
      <c r="G33" s="338"/>
      <c r="H33" s="338"/>
      <c r="K33" s="68"/>
      <c r="L33" s="68"/>
      <c r="M33" s="338"/>
      <c r="N33" s="338"/>
      <c r="O33" s="338"/>
      <c r="P33" s="338"/>
      <c r="Q33" s="338"/>
      <c r="R33" s="338"/>
      <c r="S33" s="338"/>
    </row>
    <row r="34" spans="1:19">
      <c r="A34" s="68"/>
      <c r="B34" s="338"/>
      <c r="C34" s="338"/>
      <c r="D34" s="338"/>
      <c r="E34" s="338"/>
      <c r="F34" s="338"/>
      <c r="G34" s="338"/>
      <c r="H34" s="338"/>
      <c r="K34" s="68"/>
      <c r="L34" s="68"/>
      <c r="M34" s="338"/>
      <c r="N34" s="338"/>
      <c r="O34" s="338"/>
      <c r="P34" s="338"/>
      <c r="Q34" s="338"/>
      <c r="R34" s="338"/>
      <c r="S34" s="338"/>
    </row>
    <row r="35" spans="1:19">
      <c r="A35" s="68"/>
      <c r="B35" s="338"/>
      <c r="C35" s="338"/>
      <c r="D35" s="338"/>
      <c r="E35" s="338"/>
      <c r="F35" s="338"/>
      <c r="G35" s="338"/>
      <c r="H35" s="338"/>
      <c r="K35" s="68"/>
      <c r="L35" s="68"/>
      <c r="M35" s="338"/>
      <c r="N35" s="338"/>
      <c r="O35" s="338"/>
      <c r="P35" s="338"/>
      <c r="Q35" s="338"/>
      <c r="R35" s="338"/>
      <c r="S35" s="338"/>
    </row>
    <row r="36" spans="1:19">
      <c r="A36" s="68"/>
      <c r="B36" s="338"/>
      <c r="C36" s="338"/>
      <c r="D36" s="338"/>
      <c r="E36" s="338"/>
      <c r="F36" s="338"/>
      <c r="G36" s="338"/>
      <c r="H36" s="338"/>
      <c r="K36" s="68"/>
      <c r="L36" s="68"/>
      <c r="M36" s="338"/>
      <c r="N36" s="338"/>
      <c r="O36" s="338"/>
      <c r="P36" s="338"/>
      <c r="Q36" s="338"/>
      <c r="R36" s="338"/>
      <c r="S36" s="338"/>
    </row>
    <row r="37" spans="1:19">
      <c r="A37" s="68"/>
      <c r="B37" s="338"/>
      <c r="C37" s="338"/>
      <c r="D37" s="338"/>
      <c r="E37" s="338"/>
      <c r="F37" s="338"/>
      <c r="G37" s="338"/>
      <c r="H37" s="338"/>
      <c r="K37" s="68"/>
      <c r="L37" s="68"/>
      <c r="M37" s="338"/>
      <c r="N37" s="338"/>
      <c r="O37" s="338"/>
      <c r="P37" s="338"/>
      <c r="Q37" s="338"/>
      <c r="R37" s="338"/>
      <c r="S37" s="338"/>
    </row>
    <row r="38" spans="1:19" ht="18.75">
      <c r="A38" s="792" t="s">
        <v>441</v>
      </c>
      <c r="B38" s="792"/>
      <c r="C38" s="792"/>
      <c r="D38" s="792"/>
      <c r="E38" s="792"/>
      <c r="F38" s="792"/>
      <c r="G38" s="792"/>
      <c r="H38" s="792"/>
      <c r="K38" s="792" t="s">
        <v>442</v>
      </c>
      <c r="L38" s="792"/>
      <c r="M38" s="792"/>
      <c r="N38" s="792"/>
      <c r="O38" s="792"/>
      <c r="P38" s="792"/>
      <c r="Q38" s="792"/>
      <c r="R38" s="792"/>
      <c r="S38" s="792"/>
    </row>
    <row r="39" spans="1:19" ht="18.75">
      <c r="A39" s="339" t="s">
        <v>475</v>
      </c>
      <c r="K39" s="339" t="s">
        <v>418</v>
      </c>
      <c r="L39" s="339"/>
    </row>
    <row r="40" spans="1:19" ht="42">
      <c r="A40" s="336" t="s">
        <v>389</v>
      </c>
      <c r="K40" s="336" t="s">
        <v>422</v>
      </c>
      <c r="L40" s="336"/>
    </row>
    <row r="41" spans="1:19">
      <c r="A41" s="3" t="s">
        <v>2</v>
      </c>
      <c r="B41" s="664" t="s">
        <v>387</v>
      </c>
      <c r="C41" s="666"/>
      <c r="D41" s="664" t="s">
        <v>394</v>
      </c>
      <c r="E41" s="665"/>
      <c r="F41" s="665"/>
      <c r="G41" s="665"/>
      <c r="H41" s="666"/>
      <c r="K41" s="3" t="s">
        <v>2</v>
      </c>
      <c r="L41" s="356" t="s">
        <v>581</v>
      </c>
      <c r="M41" s="793" t="s">
        <v>423</v>
      </c>
      <c r="N41" s="793"/>
      <c r="O41" s="664" t="s">
        <v>421</v>
      </c>
      <c r="P41" s="665"/>
      <c r="Q41" s="665"/>
      <c r="R41" s="665"/>
      <c r="S41" s="666"/>
    </row>
    <row r="42" spans="1:19">
      <c r="A42" s="7" t="s">
        <v>390</v>
      </c>
      <c r="B42" s="41" t="s">
        <v>384</v>
      </c>
      <c r="C42" s="41" t="s">
        <v>385</v>
      </c>
      <c r="D42" s="87">
        <v>0.6</v>
      </c>
      <c r="E42" s="87">
        <v>0.7</v>
      </c>
      <c r="F42" s="87">
        <v>0.8</v>
      </c>
      <c r="G42" s="87">
        <v>0.9</v>
      </c>
      <c r="H42" s="87">
        <v>1</v>
      </c>
      <c r="K42" s="7" t="s">
        <v>317</v>
      </c>
      <c r="L42" s="354" t="s">
        <v>580</v>
      </c>
      <c r="M42" s="41" t="s">
        <v>384</v>
      </c>
      <c r="N42" s="41" t="s">
        <v>385</v>
      </c>
      <c r="O42" s="87">
        <v>0.6</v>
      </c>
      <c r="P42" s="87">
        <v>0.7</v>
      </c>
      <c r="Q42" s="87">
        <v>0.8</v>
      </c>
      <c r="R42" s="87">
        <v>0.9</v>
      </c>
      <c r="S42" s="87">
        <v>1</v>
      </c>
    </row>
    <row r="43" spans="1:19" ht="45">
      <c r="A43" s="62" t="s">
        <v>502</v>
      </c>
      <c r="B43" s="279">
        <f>RICON_Edelstahl!C120</f>
        <v>4.5</v>
      </c>
      <c r="C43" s="279">
        <f>RICON_Edelstahl!F120</f>
        <v>5.1804296195027444</v>
      </c>
      <c r="D43" s="279">
        <f t="shared" ref="D43:D66" si="2">MIN($B43/1,$C43*D$42/1.3)</f>
        <v>2.3909675166935744</v>
      </c>
      <c r="E43" s="279">
        <f t="shared" ref="E43:H58" si="3">MIN($B43/1,$C43*E$42/1.3)</f>
        <v>2.7894621028091695</v>
      </c>
      <c r="F43" s="279">
        <f t="shared" si="3"/>
        <v>3.1879566889247655</v>
      </c>
      <c r="G43" s="279">
        <f t="shared" si="3"/>
        <v>3.5864512750403614</v>
      </c>
      <c r="H43" s="279">
        <f t="shared" si="3"/>
        <v>3.9849458611559569</v>
      </c>
      <c r="K43" s="62" t="s">
        <v>503</v>
      </c>
      <c r="L43" s="350" t="s">
        <v>459</v>
      </c>
      <c r="M43" s="279">
        <f>RICON_Edelstahl!C120</f>
        <v>4.5</v>
      </c>
      <c r="N43" s="279">
        <f>RICON_Edelstahl!F120</f>
        <v>5.1804296195027444</v>
      </c>
      <c r="O43" s="279">
        <f t="shared" ref="O43:S52" si="4">MIN($B43/1,$C43*O$42/1.3)</f>
        <v>2.3909675166935744</v>
      </c>
      <c r="P43" s="279">
        <f t="shared" si="4"/>
        <v>2.7894621028091695</v>
      </c>
      <c r="Q43" s="279">
        <f t="shared" si="4"/>
        <v>3.1879566889247655</v>
      </c>
      <c r="R43" s="279">
        <f t="shared" si="4"/>
        <v>3.5864512750403614</v>
      </c>
      <c r="S43" s="279">
        <f t="shared" si="4"/>
        <v>3.9849458611559569</v>
      </c>
    </row>
    <row r="44" spans="1:19" ht="45">
      <c r="A44" s="62" t="s">
        <v>504</v>
      </c>
      <c r="B44" s="279">
        <f>RICON_Edelstahl!C121</f>
        <v>8.1999999999999993</v>
      </c>
      <c r="C44" s="279">
        <f>RICON_Edelstahl!F121</f>
        <v>7.5161100233272613</v>
      </c>
      <c r="D44" s="279">
        <f t="shared" si="2"/>
        <v>3.4689738569202739</v>
      </c>
      <c r="E44" s="279">
        <f t="shared" si="3"/>
        <v>4.0471361664069869</v>
      </c>
      <c r="F44" s="279">
        <f t="shared" si="3"/>
        <v>4.6252984758936995</v>
      </c>
      <c r="G44" s="279">
        <f t="shared" si="3"/>
        <v>5.203460785380412</v>
      </c>
      <c r="H44" s="279">
        <f t="shared" si="3"/>
        <v>5.7816230948671237</v>
      </c>
      <c r="K44" s="62" t="s">
        <v>505</v>
      </c>
      <c r="L44" s="350" t="s">
        <v>462</v>
      </c>
      <c r="M44" s="279">
        <f>RICON_Edelstahl!C121</f>
        <v>8.1999999999999993</v>
      </c>
      <c r="N44" s="279">
        <f>RICON_Edelstahl!F121</f>
        <v>7.5161100233272613</v>
      </c>
      <c r="O44" s="279">
        <f t="shared" si="4"/>
        <v>3.4689738569202739</v>
      </c>
      <c r="P44" s="279">
        <f t="shared" si="4"/>
        <v>4.0471361664069869</v>
      </c>
      <c r="Q44" s="279">
        <f t="shared" si="4"/>
        <v>4.6252984758936995</v>
      </c>
      <c r="R44" s="279">
        <f t="shared" si="4"/>
        <v>5.203460785380412</v>
      </c>
      <c r="S44" s="279">
        <f t="shared" si="4"/>
        <v>5.7816230948671237</v>
      </c>
    </row>
    <row r="45" spans="1:19" ht="45">
      <c r="A45" s="62" t="s">
        <v>506</v>
      </c>
      <c r="B45" s="279">
        <f>RICON_Edelstahl!C122</f>
        <v>10.4</v>
      </c>
      <c r="C45" s="279">
        <f>RICON_Edelstahl!F122</f>
        <v>10.360859239005489</v>
      </c>
      <c r="D45" s="279">
        <f t="shared" si="2"/>
        <v>4.7819350333871489</v>
      </c>
      <c r="E45" s="279">
        <f t="shared" si="3"/>
        <v>5.578924205618339</v>
      </c>
      <c r="F45" s="279">
        <f t="shared" si="3"/>
        <v>6.3759133778495309</v>
      </c>
      <c r="G45" s="279">
        <f t="shared" si="3"/>
        <v>7.1729025500807229</v>
      </c>
      <c r="H45" s="279">
        <f t="shared" si="3"/>
        <v>7.9698917223119139</v>
      </c>
      <c r="K45" s="62" t="s">
        <v>507</v>
      </c>
      <c r="L45" s="350" t="s">
        <v>463</v>
      </c>
      <c r="M45" s="279">
        <f>RICON_Edelstahl!C122</f>
        <v>10.4</v>
      </c>
      <c r="N45" s="279">
        <f>RICON_Edelstahl!F122</f>
        <v>10.360859239005489</v>
      </c>
      <c r="O45" s="279">
        <f t="shared" si="4"/>
        <v>4.7819350333871489</v>
      </c>
      <c r="P45" s="279">
        <f t="shared" si="4"/>
        <v>5.578924205618339</v>
      </c>
      <c r="Q45" s="279">
        <f t="shared" si="4"/>
        <v>6.3759133778495309</v>
      </c>
      <c r="R45" s="279">
        <f t="shared" si="4"/>
        <v>7.1729025500807229</v>
      </c>
      <c r="S45" s="279">
        <f t="shared" si="4"/>
        <v>7.9698917223119139</v>
      </c>
    </row>
    <row r="46" spans="1:19" ht="45">
      <c r="A46" s="62" t="s">
        <v>508</v>
      </c>
      <c r="B46" s="279">
        <f>RICON_Edelstahl!C123</f>
        <v>13.4</v>
      </c>
      <c r="C46" s="279">
        <f>RICON_Edelstahl!F123</f>
        <v>13.205608454683714</v>
      </c>
      <c r="D46" s="279">
        <f t="shared" si="2"/>
        <v>6.0948962098540216</v>
      </c>
      <c r="E46" s="279">
        <f t="shared" si="3"/>
        <v>7.1107122448296911</v>
      </c>
      <c r="F46" s="279">
        <f t="shared" si="3"/>
        <v>8.1265282798053633</v>
      </c>
      <c r="G46" s="279">
        <f t="shared" si="3"/>
        <v>9.1423443147810328</v>
      </c>
      <c r="H46" s="279">
        <f t="shared" si="3"/>
        <v>10.158160349756702</v>
      </c>
      <c r="K46" s="62" t="s">
        <v>509</v>
      </c>
      <c r="L46" s="350" t="s">
        <v>464</v>
      </c>
      <c r="M46" s="279">
        <f>RICON_Edelstahl!C123</f>
        <v>13.4</v>
      </c>
      <c r="N46" s="279">
        <f>RICON_Edelstahl!F123</f>
        <v>13.205608454683714</v>
      </c>
      <c r="O46" s="279">
        <f t="shared" si="4"/>
        <v>6.0948962098540216</v>
      </c>
      <c r="P46" s="279">
        <f t="shared" si="4"/>
        <v>7.1107122448296911</v>
      </c>
      <c r="Q46" s="279">
        <f t="shared" si="4"/>
        <v>8.1265282798053633</v>
      </c>
      <c r="R46" s="279">
        <f t="shared" si="4"/>
        <v>9.1423443147810328</v>
      </c>
      <c r="S46" s="279">
        <f t="shared" si="4"/>
        <v>10.158160349756702</v>
      </c>
    </row>
    <row r="47" spans="1:19" ht="45">
      <c r="A47" s="62" t="s">
        <v>510</v>
      </c>
      <c r="B47" s="279">
        <f>RICON_Edelstahl!C124</f>
        <v>13.4</v>
      </c>
      <c r="C47" s="279">
        <f>RICON_Edelstahl!F124</f>
        <v>16.05035767036194</v>
      </c>
      <c r="D47" s="279">
        <f t="shared" si="2"/>
        <v>7.4078573863208952</v>
      </c>
      <c r="E47" s="279">
        <f t="shared" si="3"/>
        <v>8.6425002840410432</v>
      </c>
      <c r="F47" s="279">
        <f t="shared" si="3"/>
        <v>9.8771431817611948</v>
      </c>
      <c r="G47" s="279">
        <f t="shared" si="3"/>
        <v>11.111786079481343</v>
      </c>
      <c r="H47" s="279">
        <f t="shared" si="3"/>
        <v>12.346428977201493</v>
      </c>
      <c r="K47" s="62" t="s">
        <v>511</v>
      </c>
      <c r="L47" s="350" t="s">
        <v>465</v>
      </c>
      <c r="M47" s="279">
        <f>RICON_Edelstahl!C124</f>
        <v>13.4</v>
      </c>
      <c r="N47" s="279">
        <f>RICON_Edelstahl!F124</f>
        <v>16.05035767036194</v>
      </c>
      <c r="O47" s="279">
        <f t="shared" si="4"/>
        <v>7.4078573863208952</v>
      </c>
      <c r="P47" s="279">
        <f t="shared" si="4"/>
        <v>8.6425002840410432</v>
      </c>
      <c r="Q47" s="279">
        <f t="shared" si="4"/>
        <v>9.8771431817611948</v>
      </c>
      <c r="R47" s="279">
        <f t="shared" si="4"/>
        <v>11.111786079481343</v>
      </c>
      <c r="S47" s="279">
        <f t="shared" si="4"/>
        <v>12.346428977201493</v>
      </c>
    </row>
    <row r="48" spans="1:19" ht="45">
      <c r="A48" s="62" t="s">
        <v>512</v>
      </c>
      <c r="B48" s="279">
        <f>RICON_Edelstahl!C125</f>
        <v>13.4</v>
      </c>
      <c r="C48" s="279">
        <f>RICON_Edelstahl!F125</f>
        <v>18.895106886040168</v>
      </c>
      <c r="D48" s="279">
        <f t="shared" si="2"/>
        <v>8.7208185627877697</v>
      </c>
      <c r="E48" s="279">
        <f t="shared" si="3"/>
        <v>10.174288323252396</v>
      </c>
      <c r="F48" s="279">
        <f t="shared" si="3"/>
        <v>11.627758083717026</v>
      </c>
      <c r="G48" s="279">
        <f t="shared" si="3"/>
        <v>13.081227844181655</v>
      </c>
      <c r="H48" s="279">
        <f t="shared" si="3"/>
        <v>13.4</v>
      </c>
      <c r="K48" s="62" t="s">
        <v>513</v>
      </c>
      <c r="L48" s="350" t="s">
        <v>451</v>
      </c>
      <c r="M48" s="279">
        <f>RICON_Edelstahl!C125</f>
        <v>13.4</v>
      </c>
      <c r="N48" s="279">
        <f>RICON_Edelstahl!F125</f>
        <v>18.895106886040168</v>
      </c>
      <c r="O48" s="279">
        <f t="shared" si="4"/>
        <v>8.7208185627877697</v>
      </c>
      <c r="P48" s="279">
        <f t="shared" si="4"/>
        <v>10.174288323252396</v>
      </c>
      <c r="Q48" s="279">
        <f t="shared" si="4"/>
        <v>11.627758083717026</v>
      </c>
      <c r="R48" s="279">
        <f t="shared" si="4"/>
        <v>13.081227844181655</v>
      </c>
      <c r="S48" s="279">
        <f t="shared" si="4"/>
        <v>13.4</v>
      </c>
    </row>
    <row r="49" spans="1:19" ht="45">
      <c r="A49" s="62" t="s">
        <v>514</v>
      </c>
      <c r="B49" s="279">
        <f>RICON_Edelstahl!C126</f>
        <v>8.1999999999999993</v>
      </c>
      <c r="C49" s="279">
        <f>RICON_Edelstahl!F126</f>
        <v>12.696539642830006</v>
      </c>
      <c r="D49" s="279">
        <f t="shared" si="2"/>
        <v>5.8599413736138484</v>
      </c>
      <c r="E49" s="279">
        <f t="shared" si="3"/>
        <v>6.8365982692161564</v>
      </c>
      <c r="F49" s="279">
        <f t="shared" si="3"/>
        <v>7.8132551648184654</v>
      </c>
      <c r="G49" s="279">
        <f t="shared" si="3"/>
        <v>8.1999999999999993</v>
      </c>
      <c r="H49" s="279">
        <f t="shared" si="3"/>
        <v>8.1999999999999993</v>
      </c>
      <c r="K49" s="62" t="s">
        <v>515</v>
      </c>
      <c r="L49" s="350" t="s">
        <v>451</v>
      </c>
      <c r="M49" s="279">
        <f>RICON_Edelstahl!C126</f>
        <v>8.1999999999999993</v>
      </c>
      <c r="N49" s="279">
        <f>RICON_Edelstahl!F126</f>
        <v>12.696539642830006</v>
      </c>
      <c r="O49" s="279">
        <f t="shared" si="4"/>
        <v>5.8599413736138484</v>
      </c>
      <c r="P49" s="279">
        <f t="shared" si="4"/>
        <v>6.8365982692161564</v>
      </c>
      <c r="Q49" s="279">
        <f t="shared" si="4"/>
        <v>7.8132551648184654</v>
      </c>
      <c r="R49" s="279">
        <f t="shared" si="4"/>
        <v>8.1999999999999993</v>
      </c>
      <c r="S49" s="279">
        <f t="shared" si="4"/>
        <v>8.1999999999999993</v>
      </c>
    </row>
    <row r="50" spans="1:19" ht="45">
      <c r="A50" s="62" t="s">
        <v>516</v>
      </c>
      <c r="B50" s="279">
        <f>RICON_Edelstahl!C127</f>
        <v>10.4</v>
      </c>
      <c r="C50" s="279">
        <f>RICON_Edelstahl!F127</f>
        <v>18.386038074186459</v>
      </c>
      <c r="D50" s="279">
        <f t="shared" si="2"/>
        <v>8.4858637265475956</v>
      </c>
      <c r="E50" s="279">
        <f t="shared" si="3"/>
        <v>9.9001743476388615</v>
      </c>
      <c r="F50" s="279">
        <f t="shared" si="3"/>
        <v>10.4</v>
      </c>
      <c r="G50" s="279">
        <f t="shared" si="3"/>
        <v>10.4</v>
      </c>
      <c r="H50" s="279">
        <f t="shared" si="3"/>
        <v>10.4</v>
      </c>
      <c r="K50" s="62" t="s">
        <v>517</v>
      </c>
      <c r="L50" s="350" t="s">
        <v>452</v>
      </c>
      <c r="M50" s="279">
        <f>RICON_Edelstahl!C127</f>
        <v>10.4</v>
      </c>
      <c r="N50" s="279">
        <f>RICON_Edelstahl!F127</f>
        <v>18.386038074186459</v>
      </c>
      <c r="O50" s="279">
        <f t="shared" si="4"/>
        <v>8.4858637265475956</v>
      </c>
      <c r="P50" s="279">
        <f t="shared" si="4"/>
        <v>9.9001743476388615</v>
      </c>
      <c r="Q50" s="279">
        <f t="shared" si="4"/>
        <v>10.4</v>
      </c>
      <c r="R50" s="279">
        <f t="shared" si="4"/>
        <v>10.4</v>
      </c>
      <c r="S50" s="279">
        <f t="shared" si="4"/>
        <v>10.4</v>
      </c>
    </row>
    <row r="51" spans="1:19" ht="45">
      <c r="A51" s="62" t="s">
        <v>518</v>
      </c>
      <c r="B51" s="279">
        <f>RICON_Edelstahl!C128</f>
        <v>13.4</v>
      </c>
      <c r="C51" s="279">
        <f>RICON_Edelstahl!F128</f>
        <v>24.07553650554291</v>
      </c>
      <c r="D51" s="279">
        <f t="shared" si="2"/>
        <v>11.111786079481341</v>
      </c>
      <c r="E51" s="279">
        <f t="shared" si="3"/>
        <v>12.963750426061566</v>
      </c>
      <c r="F51" s="279">
        <f t="shared" si="3"/>
        <v>13.4</v>
      </c>
      <c r="G51" s="279">
        <f t="shared" si="3"/>
        <v>13.4</v>
      </c>
      <c r="H51" s="279">
        <f t="shared" si="3"/>
        <v>13.4</v>
      </c>
      <c r="K51" s="62" t="s">
        <v>519</v>
      </c>
      <c r="L51" s="350" t="s">
        <v>453</v>
      </c>
      <c r="M51" s="279">
        <f>RICON_Edelstahl!C128</f>
        <v>13.4</v>
      </c>
      <c r="N51" s="279">
        <f>RICON_Edelstahl!F128</f>
        <v>24.07553650554291</v>
      </c>
      <c r="O51" s="279">
        <f t="shared" si="4"/>
        <v>11.111786079481341</v>
      </c>
      <c r="P51" s="279">
        <f t="shared" si="4"/>
        <v>12.963750426061566</v>
      </c>
      <c r="Q51" s="279">
        <f t="shared" si="4"/>
        <v>13.4</v>
      </c>
      <c r="R51" s="279">
        <f t="shared" si="4"/>
        <v>13.4</v>
      </c>
      <c r="S51" s="279">
        <f t="shared" si="4"/>
        <v>13.4</v>
      </c>
    </row>
    <row r="52" spans="1:19" ht="45">
      <c r="A52" s="62" t="s">
        <v>520</v>
      </c>
      <c r="B52" s="279">
        <f>RICON_Edelstahl!C129</f>
        <v>13.4</v>
      </c>
      <c r="C52" s="279">
        <f>RICON_Edelstahl!F129</f>
        <v>29.765034936899362</v>
      </c>
      <c r="D52" s="279">
        <f t="shared" si="2"/>
        <v>13.4</v>
      </c>
      <c r="E52" s="279">
        <f t="shared" si="3"/>
        <v>13.4</v>
      </c>
      <c r="F52" s="279">
        <f t="shared" si="3"/>
        <v>13.4</v>
      </c>
      <c r="G52" s="279">
        <f t="shared" si="3"/>
        <v>13.4</v>
      </c>
      <c r="H52" s="279">
        <f t="shared" si="3"/>
        <v>13.4</v>
      </c>
      <c r="K52" s="62" t="s">
        <v>521</v>
      </c>
      <c r="L52" s="350" t="s">
        <v>454</v>
      </c>
      <c r="M52" s="279">
        <f>RICON_Edelstahl!C129</f>
        <v>13.4</v>
      </c>
      <c r="N52" s="279">
        <f>RICON_Edelstahl!F129</f>
        <v>29.765034936899362</v>
      </c>
      <c r="O52" s="279">
        <f t="shared" si="4"/>
        <v>13.4</v>
      </c>
      <c r="P52" s="279">
        <f t="shared" si="4"/>
        <v>13.4</v>
      </c>
      <c r="Q52" s="279">
        <f t="shared" si="4"/>
        <v>13.4</v>
      </c>
      <c r="R52" s="279">
        <f t="shared" si="4"/>
        <v>13.4</v>
      </c>
      <c r="S52" s="279">
        <f t="shared" si="4"/>
        <v>13.4</v>
      </c>
    </row>
    <row r="53" spans="1:19" ht="45.75" thickBot="1">
      <c r="A53" s="283" t="s">
        <v>522</v>
      </c>
      <c r="B53" s="318">
        <f>RICON_Edelstahl!C130</f>
        <v>13.4</v>
      </c>
      <c r="C53" s="318">
        <f>RICON_Edelstahl!F130</f>
        <v>35.454533368255817</v>
      </c>
      <c r="D53" s="318">
        <f t="shared" si="2"/>
        <v>13.4</v>
      </c>
      <c r="E53" s="318">
        <f t="shared" si="3"/>
        <v>13.4</v>
      </c>
      <c r="F53" s="318">
        <f t="shared" si="3"/>
        <v>13.4</v>
      </c>
      <c r="G53" s="318">
        <f t="shared" si="3"/>
        <v>13.4</v>
      </c>
      <c r="H53" s="318">
        <f t="shared" si="3"/>
        <v>13.4</v>
      </c>
      <c r="K53" s="283" t="s">
        <v>523</v>
      </c>
      <c r="L53" s="358" t="s">
        <v>455</v>
      </c>
      <c r="M53" s="318">
        <f>RICON_Edelstahl!C130</f>
        <v>13.4</v>
      </c>
      <c r="N53" s="318">
        <f>RICON_Edelstahl!F130</f>
        <v>35.454533368255817</v>
      </c>
      <c r="O53" s="318">
        <f t="shared" ref="O53:S66" si="5">MIN($B53/1,$C53*O$42/1.3)</f>
        <v>13.4</v>
      </c>
      <c r="P53" s="318">
        <f t="shared" si="5"/>
        <v>13.4</v>
      </c>
      <c r="Q53" s="318">
        <f t="shared" si="5"/>
        <v>13.4</v>
      </c>
      <c r="R53" s="318">
        <f t="shared" si="5"/>
        <v>13.4</v>
      </c>
      <c r="S53" s="318">
        <f t="shared" si="5"/>
        <v>13.4</v>
      </c>
    </row>
    <row r="54" spans="1:19" ht="45.75" thickTop="1">
      <c r="A54" s="259" t="s">
        <v>524</v>
      </c>
      <c r="B54" s="321">
        <f>RICON_Edelstahl!C131</f>
        <v>4.5</v>
      </c>
      <c r="C54" s="321">
        <f>RICON_Edelstahl!F131</f>
        <v>5.1804296195027444</v>
      </c>
      <c r="D54" s="321">
        <f t="shared" si="2"/>
        <v>2.3909675166935744</v>
      </c>
      <c r="E54" s="321">
        <f t="shared" si="3"/>
        <v>2.7894621028091695</v>
      </c>
      <c r="F54" s="321">
        <f t="shared" si="3"/>
        <v>3.1879566889247655</v>
      </c>
      <c r="G54" s="321">
        <f t="shared" si="3"/>
        <v>3.5864512750403614</v>
      </c>
      <c r="H54" s="321">
        <f t="shared" si="3"/>
        <v>3.9849458611559569</v>
      </c>
      <c r="K54" s="259" t="s">
        <v>525</v>
      </c>
      <c r="L54" s="350" t="s">
        <v>459</v>
      </c>
      <c r="M54" s="321">
        <f>RICON_Edelstahl!C131</f>
        <v>4.5</v>
      </c>
      <c r="N54" s="321">
        <f>RICON_Edelstahl!F131</f>
        <v>5.1804296195027444</v>
      </c>
      <c r="O54" s="321">
        <f t="shared" si="5"/>
        <v>2.3909675166935744</v>
      </c>
      <c r="P54" s="321">
        <f t="shared" si="5"/>
        <v>2.7894621028091695</v>
      </c>
      <c r="Q54" s="321">
        <f t="shared" si="5"/>
        <v>3.1879566889247655</v>
      </c>
      <c r="R54" s="321">
        <f t="shared" si="5"/>
        <v>3.5864512750403614</v>
      </c>
      <c r="S54" s="321">
        <f t="shared" si="5"/>
        <v>3.9849458611559569</v>
      </c>
    </row>
    <row r="55" spans="1:19" ht="45">
      <c r="A55" s="62" t="s">
        <v>526</v>
      </c>
      <c r="B55" s="279">
        <f>RICON_Edelstahl!C132</f>
        <v>8.1999999999999993</v>
      </c>
      <c r="C55" s="279">
        <f>RICON_Edelstahl!F132</f>
        <v>7.5161100233272613</v>
      </c>
      <c r="D55" s="279">
        <f t="shared" si="2"/>
        <v>3.4689738569202739</v>
      </c>
      <c r="E55" s="279">
        <f t="shared" si="3"/>
        <v>4.0471361664069869</v>
      </c>
      <c r="F55" s="279">
        <f t="shared" si="3"/>
        <v>4.6252984758936995</v>
      </c>
      <c r="G55" s="279">
        <f t="shared" si="3"/>
        <v>5.203460785380412</v>
      </c>
      <c r="H55" s="279">
        <f t="shared" si="3"/>
        <v>5.7816230948671237</v>
      </c>
      <c r="K55" s="62" t="s">
        <v>527</v>
      </c>
      <c r="L55" s="350" t="s">
        <v>462</v>
      </c>
      <c r="M55" s="279">
        <f>RICON_Edelstahl!C132</f>
        <v>8.1999999999999993</v>
      </c>
      <c r="N55" s="279">
        <f>RICON_Edelstahl!F132</f>
        <v>7.5161100233272613</v>
      </c>
      <c r="O55" s="279">
        <f t="shared" si="5"/>
        <v>3.4689738569202739</v>
      </c>
      <c r="P55" s="279">
        <f t="shared" si="5"/>
        <v>4.0471361664069869</v>
      </c>
      <c r="Q55" s="279">
        <f t="shared" si="5"/>
        <v>4.6252984758936995</v>
      </c>
      <c r="R55" s="279">
        <f t="shared" si="5"/>
        <v>5.203460785380412</v>
      </c>
      <c r="S55" s="279">
        <f t="shared" si="5"/>
        <v>5.7816230948671237</v>
      </c>
    </row>
    <row r="56" spans="1:19" ht="45">
      <c r="A56" s="62" t="s">
        <v>528</v>
      </c>
      <c r="B56" s="279">
        <f>RICON_Edelstahl!C133</f>
        <v>10.4</v>
      </c>
      <c r="C56" s="279">
        <f>RICON_Edelstahl!F133</f>
        <v>10.360859239005489</v>
      </c>
      <c r="D56" s="279">
        <f t="shared" si="2"/>
        <v>4.7819350333871489</v>
      </c>
      <c r="E56" s="279">
        <f t="shared" si="3"/>
        <v>5.578924205618339</v>
      </c>
      <c r="F56" s="279">
        <f t="shared" si="3"/>
        <v>6.3759133778495309</v>
      </c>
      <c r="G56" s="279">
        <f t="shared" si="3"/>
        <v>7.1729025500807229</v>
      </c>
      <c r="H56" s="279">
        <f t="shared" si="3"/>
        <v>7.9698917223119139</v>
      </c>
      <c r="K56" s="62" t="s">
        <v>529</v>
      </c>
      <c r="L56" s="350" t="s">
        <v>463</v>
      </c>
      <c r="M56" s="279">
        <f>RICON_Edelstahl!C133</f>
        <v>10.4</v>
      </c>
      <c r="N56" s="279">
        <f>RICON_Edelstahl!F133</f>
        <v>10.360859239005489</v>
      </c>
      <c r="O56" s="279">
        <f t="shared" si="5"/>
        <v>4.7819350333871489</v>
      </c>
      <c r="P56" s="279">
        <f t="shared" si="5"/>
        <v>5.578924205618339</v>
      </c>
      <c r="Q56" s="279">
        <f t="shared" si="5"/>
        <v>6.3759133778495309</v>
      </c>
      <c r="R56" s="279">
        <f t="shared" si="5"/>
        <v>7.1729025500807229</v>
      </c>
      <c r="S56" s="279">
        <f t="shared" si="5"/>
        <v>7.9698917223119139</v>
      </c>
    </row>
    <row r="57" spans="1:19" ht="45">
      <c r="A57" s="62" t="s">
        <v>530</v>
      </c>
      <c r="B57" s="279">
        <f>RICON_Edelstahl!C134</f>
        <v>13.4</v>
      </c>
      <c r="C57" s="279">
        <f>RICON_Edelstahl!F134</f>
        <v>13.205608454683714</v>
      </c>
      <c r="D57" s="279">
        <f t="shared" si="2"/>
        <v>6.0948962098540216</v>
      </c>
      <c r="E57" s="279">
        <f t="shared" si="3"/>
        <v>7.1107122448296911</v>
      </c>
      <c r="F57" s="279">
        <f t="shared" si="3"/>
        <v>8.1265282798053633</v>
      </c>
      <c r="G57" s="279">
        <f t="shared" si="3"/>
        <v>9.1423443147810328</v>
      </c>
      <c r="H57" s="279">
        <f t="shared" si="3"/>
        <v>10.158160349756702</v>
      </c>
      <c r="K57" s="62" t="s">
        <v>531</v>
      </c>
      <c r="L57" s="350" t="s">
        <v>464</v>
      </c>
      <c r="M57" s="279">
        <f>RICON_Edelstahl!C134</f>
        <v>13.4</v>
      </c>
      <c r="N57" s="279">
        <f>RICON_Edelstahl!F134</f>
        <v>13.205608454683714</v>
      </c>
      <c r="O57" s="279">
        <f t="shared" si="5"/>
        <v>6.0948962098540216</v>
      </c>
      <c r="P57" s="279">
        <f t="shared" si="5"/>
        <v>7.1107122448296911</v>
      </c>
      <c r="Q57" s="279">
        <f t="shared" si="5"/>
        <v>8.1265282798053633</v>
      </c>
      <c r="R57" s="279">
        <f t="shared" si="5"/>
        <v>9.1423443147810328</v>
      </c>
      <c r="S57" s="279">
        <f t="shared" si="5"/>
        <v>10.158160349756702</v>
      </c>
    </row>
    <row r="58" spans="1:19" ht="45">
      <c r="A58" s="62" t="s">
        <v>532</v>
      </c>
      <c r="B58" s="279">
        <f>RICON_Edelstahl!C135</f>
        <v>13.4</v>
      </c>
      <c r="C58" s="279">
        <f>RICON_Edelstahl!F135</f>
        <v>16.05035767036194</v>
      </c>
      <c r="D58" s="279">
        <f t="shared" si="2"/>
        <v>7.4078573863208952</v>
      </c>
      <c r="E58" s="279">
        <f t="shared" si="3"/>
        <v>8.6425002840410432</v>
      </c>
      <c r="F58" s="279">
        <f t="shared" si="3"/>
        <v>9.8771431817611948</v>
      </c>
      <c r="G58" s="279">
        <f t="shared" si="3"/>
        <v>11.111786079481343</v>
      </c>
      <c r="H58" s="279">
        <f t="shared" si="3"/>
        <v>12.346428977201493</v>
      </c>
      <c r="K58" s="62" t="s">
        <v>533</v>
      </c>
      <c r="L58" s="350" t="s">
        <v>465</v>
      </c>
      <c r="M58" s="279">
        <f>RICON_Edelstahl!C135</f>
        <v>13.4</v>
      </c>
      <c r="N58" s="279">
        <f>RICON_Edelstahl!F135</f>
        <v>16.05035767036194</v>
      </c>
      <c r="O58" s="279">
        <f t="shared" si="5"/>
        <v>7.4078573863208952</v>
      </c>
      <c r="P58" s="279">
        <f t="shared" si="5"/>
        <v>8.6425002840410432</v>
      </c>
      <c r="Q58" s="279">
        <f t="shared" si="5"/>
        <v>9.8771431817611948</v>
      </c>
      <c r="R58" s="279">
        <f t="shared" si="5"/>
        <v>11.111786079481343</v>
      </c>
      <c r="S58" s="279">
        <f t="shared" si="5"/>
        <v>12.346428977201493</v>
      </c>
    </row>
    <row r="59" spans="1:19" ht="45">
      <c r="A59" s="62" t="s">
        <v>534</v>
      </c>
      <c r="B59" s="279">
        <f>RICON_Edelstahl!C136</f>
        <v>13.4</v>
      </c>
      <c r="C59" s="279">
        <f>RICON_Edelstahl!F136</f>
        <v>18.895106886040168</v>
      </c>
      <c r="D59" s="279">
        <f t="shared" si="2"/>
        <v>8.7208185627877697</v>
      </c>
      <c r="E59" s="279">
        <f t="shared" ref="E59:H66" si="6">MIN($B59/1,$C59*E$42/1.3)</f>
        <v>10.174288323252396</v>
      </c>
      <c r="F59" s="279">
        <f t="shared" si="6"/>
        <v>11.627758083717026</v>
      </c>
      <c r="G59" s="279">
        <f t="shared" si="6"/>
        <v>13.081227844181655</v>
      </c>
      <c r="H59" s="279">
        <f t="shared" si="6"/>
        <v>13.4</v>
      </c>
      <c r="K59" s="62" t="s">
        <v>535</v>
      </c>
      <c r="L59" s="350" t="s">
        <v>451</v>
      </c>
      <c r="M59" s="279">
        <f>RICON_Edelstahl!C136</f>
        <v>13.4</v>
      </c>
      <c r="N59" s="279">
        <f>RICON_Edelstahl!F136</f>
        <v>18.895106886040168</v>
      </c>
      <c r="O59" s="279">
        <f t="shared" si="5"/>
        <v>8.7208185627877697</v>
      </c>
      <c r="P59" s="279">
        <f t="shared" si="5"/>
        <v>10.174288323252396</v>
      </c>
      <c r="Q59" s="279">
        <f t="shared" si="5"/>
        <v>11.627758083717026</v>
      </c>
      <c r="R59" s="279">
        <f t="shared" si="5"/>
        <v>13.081227844181655</v>
      </c>
      <c r="S59" s="279">
        <f t="shared" si="5"/>
        <v>13.4</v>
      </c>
    </row>
    <row r="60" spans="1:19" ht="45">
      <c r="A60" s="62" t="s">
        <v>536</v>
      </c>
      <c r="B60" s="279">
        <f>RICON_Edelstahl!C137</f>
        <v>13.4</v>
      </c>
      <c r="C60" s="279">
        <f>RICON_Edelstahl!F137</f>
        <v>12.696539642830006</v>
      </c>
      <c r="D60" s="279">
        <f t="shared" si="2"/>
        <v>5.8599413736138484</v>
      </c>
      <c r="E60" s="279">
        <f t="shared" si="6"/>
        <v>6.8365982692161564</v>
      </c>
      <c r="F60" s="279">
        <f t="shared" si="6"/>
        <v>7.8132551648184654</v>
      </c>
      <c r="G60" s="279">
        <f t="shared" si="6"/>
        <v>8.7899120604207734</v>
      </c>
      <c r="H60" s="279">
        <f t="shared" si="6"/>
        <v>9.7665689560230806</v>
      </c>
      <c r="K60" s="62" t="s">
        <v>537</v>
      </c>
      <c r="L60" s="350" t="s">
        <v>451</v>
      </c>
      <c r="M60" s="279">
        <f>RICON_Edelstahl!C137</f>
        <v>13.4</v>
      </c>
      <c r="N60" s="279">
        <f>RICON_Edelstahl!F137</f>
        <v>12.696539642830006</v>
      </c>
      <c r="O60" s="279">
        <f t="shared" si="5"/>
        <v>5.8599413736138484</v>
      </c>
      <c r="P60" s="279">
        <f t="shared" si="5"/>
        <v>6.8365982692161564</v>
      </c>
      <c r="Q60" s="279">
        <f t="shared" si="5"/>
        <v>7.8132551648184654</v>
      </c>
      <c r="R60" s="279">
        <f t="shared" si="5"/>
        <v>8.7899120604207734</v>
      </c>
      <c r="S60" s="279">
        <f t="shared" si="5"/>
        <v>9.7665689560230806</v>
      </c>
    </row>
    <row r="61" spans="1:19" ht="45">
      <c r="A61" s="62" t="s">
        <v>538</v>
      </c>
      <c r="B61" s="279">
        <f>RICON_Edelstahl!C138</f>
        <v>13.4</v>
      </c>
      <c r="C61" s="279">
        <f>RICON_Edelstahl!F138</f>
        <v>18.386038074186459</v>
      </c>
      <c r="D61" s="279">
        <f t="shared" si="2"/>
        <v>8.4858637265475956</v>
      </c>
      <c r="E61" s="279">
        <f t="shared" si="6"/>
        <v>9.9001743476388615</v>
      </c>
      <c r="F61" s="279">
        <f t="shared" si="6"/>
        <v>11.314484968730129</v>
      </c>
      <c r="G61" s="279">
        <f t="shared" si="6"/>
        <v>12.728795589821393</v>
      </c>
      <c r="H61" s="279">
        <f t="shared" si="6"/>
        <v>13.4</v>
      </c>
      <c r="K61" s="62" t="s">
        <v>539</v>
      </c>
      <c r="L61" s="350" t="s">
        <v>452</v>
      </c>
      <c r="M61" s="279">
        <f>RICON_Edelstahl!C138</f>
        <v>13.4</v>
      </c>
      <c r="N61" s="279">
        <f>RICON_Edelstahl!F138</f>
        <v>18.386038074186459</v>
      </c>
      <c r="O61" s="279">
        <f t="shared" si="5"/>
        <v>8.4858637265475956</v>
      </c>
      <c r="P61" s="279">
        <f t="shared" si="5"/>
        <v>9.9001743476388615</v>
      </c>
      <c r="Q61" s="279">
        <f t="shared" si="5"/>
        <v>11.314484968730129</v>
      </c>
      <c r="R61" s="279">
        <f t="shared" si="5"/>
        <v>12.728795589821393</v>
      </c>
      <c r="S61" s="279">
        <f t="shared" si="5"/>
        <v>13.4</v>
      </c>
    </row>
    <row r="62" spans="1:19" ht="45">
      <c r="A62" s="62" t="s">
        <v>540</v>
      </c>
      <c r="B62" s="279">
        <f>RICON_Edelstahl!C139</f>
        <v>13.4</v>
      </c>
      <c r="C62" s="279">
        <f>RICON_Edelstahl!F139</f>
        <v>24.07553650554291</v>
      </c>
      <c r="D62" s="279">
        <f t="shared" si="2"/>
        <v>11.111786079481341</v>
      </c>
      <c r="E62" s="279">
        <f t="shared" si="6"/>
        <v>12.963750426061566</v>
      </c>
      <c r="F62" s="279">
        <f t="shared" si="6"/>
        <v>13.4</v>
      </c>
      <c r="G62" s="279">
        <f t="shared" si="6"/>
        <v>13.4</v>
      </c>
      <c r="H62" s="279">
        <f t="shared" si="6"/>
        <v>13.4</v>
      </c>
      <c r="K62" s="62" t="s">
        <v>541</v>
      </c>
      <c r="L62" s="350" t="s">
        <v>453</v>
      </c>
      <c r="M62" s="279">
        <f>RICON_Edelstahl!C139</f>
        <v>13.4</v>
      </c>
      <c r="N62" s="279">
        <f>RICON_Edelstahl!F139</f>
        <v>24.07553650554291</v>
      </c>
      <c r="O62" s="279">
        <f t="shared" si="5"/>
        <v>11.111786079481341</v>
      </c>
      <c r="P62" s="279">
        <f t="shared" si="5"/>
        <v>12.963750426061566</v>
      </c>
      <c r="Q62" s="279">
        <f t="shared" si="5"/>
        <v>13.4</v>
      </c>
      <c r="R62" s="279">
        <f t="shared" si="5"/>
        <v>13.4</v>
      </c>
      <c r="S62" s="279">
        <f t="shared" si="5"/>
        <v>13.4</v>
      </c>
    </row>
    <row r="63" spans="1:19" ht="45">
      <c r="A63" s="62" t="s">
        <v>542</v>
      </c>
      <c r="B63" s="279">
        <f>RICON_Edelstahl!C140</f>
        <v>13.4</v>
      </c>
      <c r="C63" s="279">
        <f>RICON_Edelstahl!F140</f>
        <v>29.765034936899362</v>
      </c>
      <c r="D63" s="279">
        <f t="shared" si="2"/>
        <v>13.4</v>
      </c>
      <c r="E63" s="279">
        <f t="shared" si="6"/>
        <v>13.4</v>
      </c>
      <c r="F63" s="279">
        <f t="shared" si="6"/>
        <v>13.4</v>
      </c>
      <c r="G63" s="279">
        <f t="shared" si="6"/>
        <v>13.4</v>
      </c>
      <c r="H63" s="279">
        <f t="shared" si="6"/>
        <v>13.4</v>
      </c>
      <c r="K63" s="62" t="s">
        <v>543</v>
      </c>
      <c r="L63" s="350" t="s">
        <v>454</v>
      </c>
      <c r="M63" s="279">
        <f>RICON_Edelstahl!C140</f>
        <v>13.4</v>
      </c>
      <c r="N63" s="279">
        <f>RICON_Edelstahl!F140</f>
        <v>29.765034936899362</v>
      </c>
      <c r="O63" s="279">
        <f t="shared" si="5"/>
        <v>13.4</v>
      </c>
      <c r="P63" s="279">
        <f t="shared" si="5"/>
        <v>13.4</v>
      </c>
      <c r="Q63" s="279">
        <f t="shared" si="5"/>
        <v>13.4</v>
      </c>
      <c r="R63" s="279">
        <f t="shared" si="5"/>
        <v>13.4</v>
      </c>
      <c r="S63" s="279">
        <f t="shared" si="5"/>
        <v>13.4</v>
      </c>
    </row>
    <row r="64" spans="1:19" ht="45.75" thickBot="1">
      <c r="A64" s="283" t="s">
        <v>544</v>
      </c>
      <c r="B64" s="318">
        <f>RICON_Edelstahl!C141</f>
        <v>13.4</v>
      </c>
      <c r="C64" s="318">
        <f>RICON_Edelstahl!F141</f>
        <v>35.454533368255817</v>
      </c>
      <c r="D64" s="318">
        <f t="shared" si="2"/>
        <v>13.4</v>
      </c>
      <c r="E64" s="318">
        <f t="shared" si="6"/>
        <v>13.4</v>
      </c>
      <c r="F64" s="318">
        <f t="shared" si="6"/>
        <v>13.4</v>
      </c>
      <c r="G64" s="318">
        <f t="shared" si="6"/>
        <v>13.4</v>
      </c>
      <c r="H64" s="318">
        <f t="shared" si="6"/>
        <v>13.4</v>
      </c>
      <c r="K64" s="283" t="s">
        <v>545</v>
      </c>
      <c r="L64" s="358" t="s">
        <v>455</v>
      </c>
      <c r="M64" s="318">
        <f>RICON_Edelstahl!C141</f>
        <v>13.4</v>
      </c>
      <c r="N64" s="318">
        <f>RICON_Edelstahl!F141</f>
        <v>35.454533368255817</v>
      </c>
      <c r="O64" s="318">
        <f t="shared" si="5"/>
        <v>13.4</v>
      </c>
      <c r="P64" s="318">
        <f t="shared" si="5"/>
        <v>13.4</v>
      </c>
      <c r="Q64" s="318">
        <f t="shared" si="5"/>
        <v>13.4</v>
      </c>
      <c r="R64" s="318">
        <f t="shared" si="5"/>
        <v>13.4</v>
      </c>
      <c r="S64" s="318">
        <f t="shared" si="5"/>
        <v>13.4</v>
      </c>
    </row>
    <row r="65" spans="1:19" ht="45.75" thickTop="1">
      <c r="A65" s="259" t="s">
        <v>546</v>
      </c>
      <c r="B65" s="321">
        <f>RICON_Edelstahl!C146</f>
        <v>3.7</v>
      </c>
      <c r="C65" s="321">
        <f>RICON_Edelstahl!F146</f>
        <v>5.0646478158177981</v>
      </c>
      <c r="D65" s="321">
        <f t="shared" si="2"/>
        <v>2.3375297611466759</v>
      </c>
      <c r="E65" s="321">
        <f t="shared" si="6"/>
        <v>2.7271180546711218</v>
      </c>
      <c r="F65" s="321">
        <f t="shared" si="6"/>
        <v>3.1167063481955686</v>
      </c>
      <c r="G65" s="321">
        <f t="shared" si="6"/>
        <v>3.5062946417200136</v>
      </c>
      <c r="H65" s="321">
        <f t="shared" si="6"/>
        <v>3.7</v>
      </c>
      <c r="K65" s="259" t="s">
        <v>547</v>
      </c>
      <c r="L65" s="357" t="s">
        <v>584</v>
      </c>
      <c r="M65" s="321">
        <f>RICON_Edelstahl!C146</f>
        <v>3.7</v>
      </c>
      <c r="N65" s="321">
        <f>RICON_Edelstahl!F146</f>
        <v>5.0646478158177981</v>
      </c>
      <c r="O65" s="321">
        <f t="shared" si="5"/>
        <v>2.3375297611466759</v>
      </c>
      <c r="P65" s="321">
        <f t="shared" si="5"/>
        <v>2.7271180546711218</v>
      </c>
      <c r="Q65" s="321">
        <f t="shared" si="5"/>
        <v>3.1167063481955686</v>
      </c>
      <c r="R65" s="321">
        <f t="shared" si="5"/>
        <v>3.5062946417200136</v>
      </c>
      <c r="S65" s="321">
        <f t="shared" si="5"/>
        <v>3.7</v>
      </c>
    </row>
    <row r="66" spans="1:19" ht="45">
      <c r="A66" s="259" t="s">
        <v>548</v>
      </c>
      <c r="B66" s="279">
        <f>RICON_Edelstahl!C147</f>
        <v>3.7</v>
      </c>
      <c r="C66" s="279">
        <f>RICON_Edelstahl!F147</f>
        <v>5.0646478158177981</v>
      </c>
      <c r="D66" s="279">
        <f t="shared" si="2"/>
        <v>2.3375297611466759</v>
      </c>
      <c r="E66" s="279">
        <f t="shared" si="6"/>
        <v>2.7271180546711218</v>
      </c>
      <c r="F66" s="279">
        <f t="shared" si="6"/>
        <v>3.1167063481955686</v>
      </c>
      <c r="G66" s="279">
        <f t="shared" si="6"/>
        <v>3.5062946417200136</v>
      </c>
      <c r="H66" s="279">
        <f t="shared" si="6"/>
        <v>3.7</v>
      </c>
      <c r="K66" s="259" t="s">
        <v>549</v>
      </c>
      <c r="L66" s="357" t="s">
        <v>583</v>
      </c>
      <c r="M66" s="279">
        <f>RICON_Edelstahl!C147</f>
        <v>3.7</v>
      </c>
      <c r="N66" s="279">
        <f>RICON_Edelstahl!F147</f>
        <v>5.0646478158177981</v>
      </c>
      <c r="O66" s="279">
        <f t="shared" si="5"/>
        <v>2.3375297611466759</v>
      </c>
      <c r="P66" s="279">
        <f t="shared" si="5"/>
        <v>2.7271180546711218</v>
      </c>
      <c r="Q66" s="279">
        <f t="shared" si="5"/>
        <v>3.1167063481955686</v>
      </c>
      <c r="R66" s="279">
        <f t="shared" si="5"/>
        <v>3.5062946417200136</v>
      </c>
      <c r="S66" s="279">
        <f t="shared" si="5"/>
        <v>3.7</v>
      </c>
    </row>
    <row r="67" spans="1:19">
      <c r="A67" s="68"/>
      <c r="B67" s="338"/>
      <c r="C67" s="338"/>
      <c r="D67" s="338"/>
      <c r="E67" s="338"/>
      <c r="F67" s="338"/>
      <c r="G67" s="338"/>
      <c r="H67" s="338"/>
      <c r="K67" s="68"/>
      <c r="L67" s="68"/>
      <c r="M67" s="338"/>
      <c r="N67" s="338"/>
      <c r="O67" s="338"/>
      <c r="P67" s="338"/>
      <c r="Q67" s="338"/>
      <c r="R67" s="338"/>
      <c r="S67" s="338"/>
    </row>
    <row r="68" spans="1:19">
      <c r="A68" s="68"/>
      <c r="B68" s="338"/>
      <c r="C68" s="338"/>
      <c r="D68" s="338"/>
      <c r="E68" s="338"/>
      <c r="F68" s="338"/>
      <c r="G68" s="338"/>
      <c r="H68" s="338"/>
      <c r="K68" s="68"/>
      <c r="L68" s="68"/>
      <c r="M68" s="338"/>
      <c r="N68" s="338"/>
      <c r="O68" s="338"/>
      <c r="P68" s="338"/>
      <c r="Q68" s="338"/>
      <c r="R68" s="338"/>
      <c r="S68" s="338"/>
    </row>
    <row r="69" spans="1:19" ht="18.75">
      <c r="A69" s="792" t="s">
        <v>441</v>
      </c>
      <c r="B69" s="792"/>
      <c r="C69" s="792"/>
      <c r="D69" s="792"/>
      <c r="E69" s="792"/>
      <c r="F69" s="792"/>
      <c r="G69" s="792"/>
      <c r="H69" s="792"/>
      <c r="K69" s="792" t="s">
        <v>442</v>
      </c>
      <c r="L69" s="792"/>
      <c r="M69" s="792"/>
      <c r="N69" s="792"/>
      <c r="O69" s="792"/>
      <c r="P69" s="792"/>
      <c r="Q69" s="792"/>
      <c r="R69" s="792"/>
      <c r="S69" s="792"/>
    </row>
    <row r="70" spans="1:19" ht="18.75">
      <c r="A70" s="339" t="s">
        <v>550</v>
      </c>
      <c r="K70" s="339" t="s">
        <v>424</v>
      </c>
      <c r="L70" s="339"/>
    </row>
    <row r="71" spans="1:19" ht="42">
      <c r="A71" s="336" t="s">
        <v>389</v>
      </c>
      <c r="K71" s="336" t="s">
        <v>422</v>
      </c>
      <c r="L71" s="336"/>
    </row>
    <row r="72" spans="1:19">
      <c r="A72" s="3" t="s">
        <v>2</v>
      </c>
      <c r="B72" s="664" t="s">
        <v>387</v>
      </c>
      <c r="C72" s="666"/>
      <c r="D72" s="664" t="s">
        <v>394</v>
      </c>
      <c r="E72" s="665"/>
      <c r="F72" s="665"/>
      <c r="G72" s="665"/>
      <c r="H72" s="666"/>
      <c r="K72" s="3" t="s">
        <v>2</v>
      </c>
      <c r="L72" s="356" t="s">
        <v>581</v>
      </c>
      <c r="M72" s="793" t="s">
        <v>423</v>
      </c>
      <c r="N72" s="793"/>
      <c r="O72" s="664" t="s">
        <v>421</v>
      </c>
      <c r="P72" s="665"/>
      <c r="Q72" s="665"/>
      <c r="R72" s="665"/>
      <c r="S72" s="666"/>
    </row>
    <row r="73" spans="1:19">
      <c r="A73" s="7" t="s">
        <v>390</v>
      </c>
      <c r="B73" s="41" t="s">
        <v>384</v>
      </c>
      <c r="C73" s="41" t="s">
        <v>385</v>
      </c>
      <c r="D73" s="340">
        <v>0.6</v>
      </c>
      <c r="E73" s="340">
        <v>0.7</v>
      </c>
      <c r="F73" s="340">
        <v>0.8</v>
      </c>
      <c r="G73" s="340">
        <v>0.9</v>
      </c>
      <c r="H73" s="340">
        <v>1</v>
      </c>
      <c r="K73" s="7" t="s">
        <v>317</v>
      </c>
      <c r="L73" s="354" t="s">
        <v>580</v>
      </c>
      <c r="M73" s="41" t="s">
        <v>384</v>
      </c>
      <c r="N73" s="41" t="s">
        <v>385</v>
      </c>
      <c r="O73" s="340">
        <v>0.6</v>
      </c>
      <c r="P73" s="340">
        <v>0.7</v>
      </c>
      <c r="Q73" s="340">
        <v>0.8</v>
      </c>
      <c r="R73" s="340">
        <v>0.9</v>
      </c>
      <c r="S73" s="340">
        <v>1</v>
      </c>
    </row>
    <row r="74" spans="1:19" ht="45">
      <c r="A74" s="62" t="s">
        <v>502</v>
      </c>
      <c r="B74" s="279">
        <f>RICON_Edelstahl!C120</f>
        <v>4.5</v>
      </c>
      <c r="C74" s="279">
        <f>RICON_Edelstahl!F120</f>
        <v>5.1804296195027444</v>
      </c>
      <c r="D74" s="279">
        <f t="shared" ref="D74:D97" si="7">MIN($B74/1,$C74*D$73/1.3)</f>
        <v>2.3909675166935744</v>
      </c>
      <c r="E74" s="279">
        <f t="shared" ref="E74:H89" si="8">MIN($B74/1,$C74*E$73/1.3)</f>
        <v>2.7894621028091695</v>
      </c>
      <c r="F74" s="279">
        <f t="shared" si="8"/>
        <v>3.1879566889247655</v>
      </c>
      <c r="G74" s="279">
        <f t="shared" si="8"/>
        <v>3.5864512750403614</v>
      </c>
      <c r="H74" s="279">
        <f t="shared" si="8"/>
        <v>3.9849458611559569</v>
      </c>
      <c r="K74" s="62" t="s">
        <v>503</v>
      </c>
      <c r="L74" s="350" t="s">
        <v>459</v>
      </c>
      <c r="M74" s="279">
        <f>RICON_Edelstahl!C120</f>
        <v>4.5</v>
      </c>
      <c r="N74" s="279">
        <f>RICON_Edelstahl!F120</f>
        <v>5.1804296195027444</v>
      </c>
      <c r="O74" s="279">
        <f t="shared" ref="O74:S83" si="9">MIN($B74/1,$C74*O$73/1.3)</f>
        <v>2.3909675166935744</v>
      </c>
      <c r="P74" s="279">
        <f t="shared" si="9"/>
        <v>2.7894621028091695</v>
      </c>
      <c r="Q74" s="279">
        <f t="shared" si="9"/>
        <v>3.1879566889247655</v>
      </c>
      <c r="R74" s="279">
        <f t="shared" si="9"/>
        <v>3.5864512750403614</v>
      </c>
      <c r="S74" s="279">
        <f t="shared" si="9"/>
        <v>3.9849458611559569</v>
      </c>
    </row>
    <row r="75" spans="1:19" ht="45">
      <c r="A75" s="62" t="s">
        <v>504</v>
      </c>
      <c r="B75" s="279">
        <f>RICON_Edelstahl!C121</f>
        <v>8.1999999999999993</v>
      </c>
      <c r="C75" s="279">
        <f>RICON_Edelstahl!F121</f>
        <v>7.5161100233272613</v>
      </c>
      <c r="D75" s="279">
        <f t="shared" si="7"/>
        <v>3.4689738569202739</v>
      </c>
      <c r="E75" s="279">
        <f t="shared" si="8"/>
        <v>4.0471361664069869</v>
      </c>
      <c r="F75" s="279">
        <f t="shared" si="8"/>
        <v>4.6252984758936995</v>
      </c>
      <c r="G75" s="279">
        <f t="shared" si="8"/>
        <v>5.203460785380412</v>
      </c>
      <c r="H75" s="279">
        <f t="shared" si="8"/>
        <v>5.7816230948671237</v>
      </c>
      <c r="K75" s="62" t="s">
        <v>505</v>
      </c>
      <c r="L75" s="350" t="s">
        <v>462</v>
      </c>
      <c r="M75" s="279">
        <f>RICON_Edelstahl!C121</f>
        <v>8.1999999999999993</v>
      </c>
      <c r="N75" s="279">
        <f>RICON_Edelstahl!F121</f>
        <v>7.5161100233272613</v>
      </c>
      <c r="O75" s="279">
        <f t="shared" si="9"/>
        <v>3.4689738569202739</v>
      </c>
      <c r="P75" s="279">
        <f t="shared" si="9"/>
        <v>4.0471361664069869</v>
      </c>
      <c r="Q75" s="279">
        <f t="shared" si="9"/>
        <v>4.6252984758936995</v>
      </c>
      <c r="R75" s="279">
        <f t="shared" si="9"/>
        <v>5.203460785380412</v>
      </c>
      <c r="S75" s="279">
        <f t="shared" si="9"/>
        <v>5.7816230948671237</v>
      </c>
    </row>
    <row r="76" spans="1:19" ht="45">
      <c r="A76" s="62" t="s">
        <v>506</v>
      </c>
      <c r="B76" s="279">
        <f>RICON_Edelstahl!C122</f>
        <v>10.4</v>
      </c>
      <c r="C76" s="279">
        <f>RICON_Edelstahl!F122</f>
        <v>10.360859239005489</v>
      </c>
      <c r="D76" s="279">
        <f t="shared" si="7"/>
        <v>4.7819350333871489</v>
      </c>
      <c r="E76" s="279">
        <f t="shared" si="8"/>
        <v>5.578924205618339</v>
      </c>
      <c r="F76" s="279">
        <f t="shared" si="8"/>
        <v>6.3759133778495309</v>
      </c>
      <c r="G76" s="279">
        <f t="shared" si="8"/>
        <v>7.1729025500807229</v>
      </c>
      <c r="H76" s="279">
        <f t="shared" si="8"/>
        <v>7.9698917223119139</v>
      </c>
      <c r="K76" s="62" t="s">
        <v>507</v>
      </c>
      <c r="L76" s="350" t="s">
        <v>463</v>
      </c>
      <c r="M76" s="279">
        <f>RICON_Edelstahl!C122</f>
        <v>10.4</v>
      </c>
      <c r="N76" s="279">
        <f>RICON_Edelstahl!F122</f>
        <v>10.360859239005489</v>
      </c>
      <c r="O76" s="279">
        <f t="shared" si="9"/>
        <v>4.7819350333871489</v>
      </c>
      <c r="P76" s="279">
        <f t="shared" si="9"/>
        <v>5.578924205618339</v>
      </c>
      <c r="Q76" s="279">
        <f t="shared" si="9"/>
        <v>6.3759133778495309</v>
      </c>
      <c r="R76" s="279">
        <f t="shared" si="9"/>
        <v>7.1729025500807229</v>
      </c>
      <c r="S76" s="279">
        <f t="shared" si="9"/>
        <v>7.9698917223119139</v>
      </c>
    </row>
    <row r="77" spans="1:19" ht="45">
      <c r="A77" s="62" t="s">
        <v>508</v>
      </c>
      <c r="B77" s="279">
        <f>RICON_Edelstahl!C123</f>
        <v>13.4</v>
      </c>
      <c r="C77" s="279">
        <f>RICON_Edelstahl!F123</f>
        <v>13.205608454683714</v>
      </c>
      <c r="D77" s="279">
        <f t="shared" si="7"/>
        <v>6.0948962098540216</v>
      </c>
      <c r="E77" s="279">
        <f t="shared" si="8"/>
        <v>7.1107122448296911</v>
      </c>
      <c r="F77" s="279">
        <f t="shared" si="8"/>
        <v>8.1265282798053633</v>
      </c>
      <c r="G77" s="279">
        <f t="shared" si="8"/>
        <v>9.1423443147810328</v>
      </c>
      <c r="H77" s="279">
        <f t="shared" si="8"/>
        <v>10.158160349756702</v>
      </c>
      <c r="K77" s="62" t="s">
        <v>509</v>
      </c>
      <c r="L77" s="350" t="s">
        <v>464</v>
      </c>
      <c r="M77" s="279">
        <f>RICON_Edelstahl!C123</f>
        <v>13.4</v>
      </c>
      <c r="N77" s="279">
        <f>RICON_Edelstahl!F123</f>
        <v>13.205608454683714</v>
      </c>
      <c r="O77" s="279">
        <f t="shared" si="9"/>
        <v>6.0948962098540216</v>
      </c>
      <c r="P77" s="279">
        <f t="shared" si="9"/>
        <v>7.1107122448296911</v>
      </c>
      <c r="Q77" s="279">
        <f t="shared" si="9"/>
        <v>8.1265282798053633</v>
      </c>
      <c r="R77" s="279">
        <f t="shared" si="9"/>
        <v>9.1423443147810328</v>
      </c>
      <c r="S77" s="279">
        <f t="shared" si="9"/>
        <v>10.158160349756702</v>
      </c>
    </row>
    <row r="78" spans="1:19" ht="45">
      <c r="A78" s="62" t="s">
        <v>510</v>
      </c>
      <c r="B78" s="279">
        <f>RICON_Edelstahl!C124</f>
        <v>13.4</v>
      </c>
      <c r="C78" s="279">
        <f>RICON_Edelstahl!F124</f>
        <v>16.05035767036194</v>
      </c>
      <c r="D78" s="279">
        <f t="shared" si="7"/>
        <v>7.4078573863208952</v>
      </c>
      <c r="E78" s="279">
        <f t="shared" si="8"/>
        <v>8.6425002840410432</v>
      </c>
      <c r="F78" s="279">
        <f t="shared" si="8"/>
        <v>9.8771431817611948</v>
      </c>
      <c r="G78" s="279">
        <f t="shared" si="8"/>
        <v>11.111786079481343</v>
      </c>
      <c r="H78" s="279">
        <f t="shared" si="8"/>
        <v>12.346428977201493</v>
      </c>
      <c r="K78" s="62" t="s">
        <v>511</v>
      </c>
      <c r="L78" s="350" t="s">
        <v>465</v>
      </c>
      <c r="M78" s="279">
        <f>RICON_Edelstahl!C124</f>
        <v>13.4</v>
      </c>
      <c r="N78" s="279">
        <f>RICON_Edelstahl!F124</f>
        <v>16.05035767036194</v>
      </c>
      <c r="O78" s="279">
        <f t="shared" si="9"/>
        <v>7.4078573863208952</v>
      </c>
      <c r="P78" s="279">
        <f t="shared" si="9"/>
        <v>8.6425002840410432</v>
      </c>
      <c r="Q78" s="279">
        <f t="shared" si="9"/>
        <v>9.8771431817611948</v>
      </c>
      <c r="R78" s="279">
        <f t="shared" si="9"/>
        <v>11.111786079481343</v>
      </c>
      <c r="S78" s="279">
        <f t="shared" si="9"/>
        <v>12.346428977201493</v>
      </c>
    </row>
    <row r="79" spans="1:19" ht="45">
      <c r="A79" s="62" t="s">
        <v>512</v>
      </c>
      <c r="B79" s="279">
        <f>RICON_Edelstahl!C125</f>
        <v>13.4</v>
      </c>
      <c r="C79" s="279">
        <f>RICON_Edelstahl!F125</f>
        <v>18.895106886040168</v>
      </c>
      <c r="D79" s="279">
        <f t="shared" si="7"/>
        <v>8.7208185627877697</v>
      </c>
      <c r="E79" s="279">
        <f t="shared" si="8"/>
        <v>10.174288323252396</v>
      </c>
      <c r="F79" s="279">
        <f t="shared" si="8"/>
        <v>11.627758083717026</v>
      </c>
      <c r="G79" s="279">
        <f t="shared" si="8"/>
        <v>13.081227844181655</v>
      </c>
      <c r="H79" s="279">
        <f t="shared" si="8"/>
        <v>13.4</v>
      </c>
      <c r="K79" s="62" t="s">
        <v>513</v>
      </c>
      <c r="L79" s="350" t="s">
        <v>451</v>
      </c>
      <c r="M79" s="279">
        <f>RICON_Edelstahl!C125</f>
        <v>13.4</v>
      </c>
      <c r="N79" s="279">
        <f>RICON_Edelstahl!F125</f>
        <v>18.895106886040168</v>
      </c>
      <c r="O79" s="279">
        <f t="shared" si="9"/>
        <v>8.7208185627877697</v>
      </c>
      <c r="P79" s="279">
        <f t="shared" si="9"/>
        <v>10.174288323252396</v>
      </c>
      <c r="Q79" s="279">
        <f t="shared" si="9"/>
        <v>11.627758083717026</v>
      </c>
      <c r="R79" s="279">
        <f t="shared" si="9"/>
        <v>13.081227844181655</v>
      </c>
      <c r="S79" s="279">
        <f t="shared" si="9"/>
        <v>13.4</v>
      </c>
    </row>
    <row r="80" spans="1:19" ht="45">
      <c r="A80" s="62" t="s">
        <v>514</v>
      </c>
      <c r="B80" s="279">
        <f>RICON_Edelstahl!C126</f>
        <v>8.1999999999999993</v>
      </c>
      <c r="C80" s="279">
        <f>RICON_Edelstahl!F126</f>
        <v>12.696539642830006</v>
      </c>
      <c r="D80" s="279">
        <f t="shared" si="7"/>
        <v>5.8599413736138484</v>
      </c>
      <c r="E80" s="279">
        <f t="shared" si="8"/>
        <v>6.8365982692161564</v>
      </c>
      <c r="F80" s="279">
        <f t="shared" si="8"/>
        <v>7.8132551648184654</v>
      </c>
      <c r="G80" s="279">
        <f t="shared" si="8"/>
        <v>8.1999999999999993</v>
      </c>
      <c r="H80" s="279">
        <f t="shared" si="8"/>
        <v>8.1999999999999993</v>
      </c>
      <c r="K80" s="62" t="s">
        <v>515</v>
      </c>
      <c r="L80" s="350" t="s">
        <v>451</v>
      </c>
      <c r="M80" s="279">
        <f>RICON_Edelstahl!C126</f>
        <v>8.1999999999999993</v>
      </c>
      <c r="N80" s="279">
        <f>RICON_Edelstahl!F126</f>
        <v>12.696539642830006</v>
      </c>
      <c r="O80" s="279">
        <f t="shared" si="9"/>
        <v>5.8599413736138484</v>
      </c>
      <c r="P80" s="279">
        <f t="shared" si="9"/>
        <v>6.8365982692161564</v>
      </c>
      <c r="Q80" s="279">
        <f t="shared" si="9"/>
        <v>7.8132551648184654</v>
      </c>
      <c r="R80" s="279">
        <f t="shared" si="9"/>
        <v>8.1999999999999993</v>
      </c>
      <c r="S80" s="279">
        <f t="shared" si="9"/>
        <v>8.1999999999999993</v>
      </c>
    </row>
    <row r="81" spans="1:19" ht="45">
      <c r="A81" s="62" t="s">
        <v>516</v>
      </c>
      <c r="B81" s="279">
        <f>RICON_Edelstahl!C127</f>
        <v>10.4</v>
      </c>
      <c r="C81" s="279">
        <f>RICON_Edelstahl!F127</f>
        <v>18.386038074186459</v>
      </c>
      <c r="D81" s="279">
        <f t="shared" si="7"/>
        <v>8.4858637265475956</v>
      </c>
      <c r="E81" s="279">
        <f t="shared" si="8"/>
        <v>9.9001743476388615</v>
      </c>
      <c r="F81" s="279">
        <f t="shared" si="8"/>
        <v>10.4</v>
      </c>
      <c r="G81" s="279">
        <f t="shared" si="8"/>
        <v>10.4</v>
      </c>
      <c r="H81" s="279">
        <f t="shared" si="8"/>
        <v>10.4</v>
      </c>
      <c r="K81" s="62" t="s">
        <v>517</v>
      </c>
      <c r="L81" s="350" t="s">
        <v>452</v>
      </c>
      <c r="M81" s="279">
        <f>RICON_Edelstahl!C127</f>
        <v>10.4</v>
      </c>
      <c r="N81" s="279">
        <f>RICON_Edelstahl!F127</f>
        <v>18.386038074186459</v>
      </c>
      <c r="O81" s="279">
        <f t="shared" si="9"/>
        <v>8.4858637265475956</v>
      </c>
      <c r="P81" s="279">
        <f t="shared" si="9"/>
        <v>9.9001743476388615</v>
      </c>
      <c r="Q81" s="279">
        <f t="shared" si="9"/>
        <v>10.4</v>
      </c>
      <c r="R81" s="279">
        <f t="shared" si="9"/>
        <v>10.4</v>
      </c>
      <c r="S81" s="279">
        <f t="shared" si="9"/>
        <v>10.4</v>
      </c>
    </row>
    <row r="82" spans="1:19" ht="45">
      <c r="A82" s="62" t="s">
        <v>518</v>
      </c>
      <c r="B82" s="279">
        <f>RICON_Edelstahl!C128</f>
        <v>13.4</v>
      </c>
      <c r="C82" s="279">
        <f>RICON_Edelstahl!F128</f>
        <v>24.07553650554291</v>
      </c>
      <c r="D82" s="279">
        <f t="shared" si="7"/>
        <v>11.111786079481341</v>
      </c>
      <c r="E82" s="279">
        <f t="shared" si="8"/>
        <v>12.963750426061566</v>
      </c>
      <c r="F82" s="279">
        <f t="shared" si="8"/>
        <v>13.4</v>
      </c>
      <c r="G82" s="279">
        <f t="shared" si="8"/>
        <v>13.4</v>
      </c>
      <c r="H82" s="279">
        <f t="shared" si="8"/>
        <v>13.4</v>
      </c>
      <c r="K82" s="62" t="s">
        <v>519</v>
      </c>
      <c r="L82" s="350" t="s">
        <v>453</v>
      </c>
      <c r="M82" s="279">
        <f>RICON_Edelstahl!C128</f>
        <v>13.4</v>
      </c>
      <c r="N82" s="279">
        <f>RICON_Edelstahl!F128</f>
        <v>24.07553650554291</v>
      </c>
      <c r="O82" s="279">
        <f t="shared" si="9"/>
        <v>11.111786079481341</v>
      </c>
      <c r="P82" s="279">
        <f t="shared" si="9"/>
        <v>12.963750426061566</v>
      </c>
      <c r="Q82" s="279">
        <f t="shared" si="9"/>
        <v>13.4</v>
      </c>
      <c r="R82" s="279">
        <f t="shared" si="9"/>
        <v>13.4</v>
      </c>
      <c r="S82" s="279">
        <f t="shared" si="9"/>
        <v>13.4</v>
      </c>
    </row>
    <row r="83" spans="1:19" ht="45">
      <c r="A83" s="62" t="s">
        <v>520</v>
      </c>
      <c r="B83" s="279">
        <f>RICON_Edelstahl!C129</f>
        <v>13.4</v>
      </c>
      <c r="C83" s="279">
        <f>RICON_Edelstahl!F129</f>
        <v>29.765034936899362</v>
      </c>
      <c r="D83" s="279">
        <f t="shared" si="7"/>
        <v>13.4</v>
      </c>
      <c r="E83" s="279">
        <f t="shared" si="8"/>
        <v>13.4</v>
      </c>
      <c r="F83" s="279">
        <f t="shared" si="8"/>
        <v>13.4</v>
      </c>
      <c r="G83" s="279">
        <f t="shared" si="8"/>
        <v>13.4</v>
      </c>
      <c r="H83" s="279">
        <f t="shared" si="8"/>
        <v>13.4</v>
      </c>
      <c r="K83" s="62" t="s">
        <v>521</v>
      </c>
      <c r="L83" s="350" t="s">
        <v>454</v>
      </c>
      <c r="M83" s="279">
        <f>RICON_Edelstahl!C129</f>
        <v>13.4</v>
      </c>
      <c r="N83" s="279">
        <f>RICON_Edelstahl!F129</f>
        <v>29.765034936899362</v>
      </c>
      <c r="O83" s="279">
        <f t="shared" si="9"/>
        <v>13.4</v>
      </c>
      <c r="P83" s="279">
        <f t="shared" si="9"/>
        <v>13.4</v>
      </c>
      <c r="Q83" s="279">
        <f t="shared" si="9"/>
        <v>13.4</v>
      </c>
      <c r="R83" s="279">
        <f t="shared" si="9"/>
        <v>13.4</v>
      </c>
      <c r="S83" s="279">
        <f t="shared" si="9"/>
        <v>13.4</v>
      </c>
    </row>
    <row r="84" spans="1:19" ht="45.75" thickBot="1">
      <c r="A84" s="283" t="s">
        <v>522</v>
      </c>
      <c r="B84" s="318">
        <f>RICON_Edelstahl!C130</f>
        <v>13.4</v>
      </c>
      <c r="C84" s="318">
        <f>RICON_Edelstahl!F130</f>
        <v>35.454533368255817</v>
      </c>
      <c r="D84" s="318">
        <f t="shared" si="7"/>
        <v>13.4</v>
      </c>
      <c r="E84" s="318">
        <f t="shared" si="8"/>
        <v>13.4</v>
      </c>
      <c r="F84" s="318">
        <f t="shared" si="8"/>
        <v>13.4</v>
      </c>
      <c r="G84" s="318">
        <f t="shared" si="8"/>
        <v>13.4</v>
      </c>
      <c r="H84" s="318">
        <f t="shared" si="8"/>
        <v>13.4</v>
      </c>
      <c r="K84" s="283" t="s">
        <v>523</v>
      </c>
      <c r="L84" s="358" t="s">
        <v>455</v>
      </c>
      <c r="M84" s="318">
        <f>RICON_Edelstahl!C130</f>
        <v>13.4</v>
      </c>
      <c r="N84" s="318">
        <f>RICON_Edelstahl!F130</f>
        <v>35.454533368255817</v>
      </c>
      <c r="O84" s="318">
        <f t="shared" ref="O84:S97" si="10">MIN($B84/1,$C84*O$73/1.3)</f>
        <v>13.4</v>
      </c>
      <c r="P84" s="318">
        <f t="shared" si="10"/>
        <v>13.4</v>
      </c>
      <c r="Q84" s="318">
        <f t="shared" si="10"/>
        <v>13.4</v>
      </c>
      <c r="R84" s="318">
        <f t="shared" si="10"/>
        <v>13.4</v>
      </c>
      <c r="S84" s="318">
        <f t="shared" si="10"/>
        <v>13.4</v>
      </c>
    </row>
    <row r="85" spans="1:19" ht="45.75" thickTop="1">
      <c r="A85" s="259" t="s">
        <v>524</v>
      </c>
      <c r="B85" s="321">
        <f>RICON_Edelstahl!C131</f>
        <v>4.5</v>
      </c>
      <c r="C85" s="321">
        <f>RICON_Edelstahl!F131</f>
        <v>5.1804296195027444</v>
      </c>
      <c r="D85" s="321">
        <f t="shared" si="7"/>
        <v>2.3909675166935744</v>
      </c>
      <c r="E85" s="321">
        <f t="shared" si="8"/>
        <v>2.7894621028091695</v>
      </c>
      <c r="F85" s="321">
        <f t="shared" si="8"/>
        <v>3.1879566889247655</v>
      </c>
      <c r="G85" s="321">
        <f t="shared" si="8"/>
        <v>3.5864512750403614</v>
      </c>
      <c r="H85" s="321">
        <f t="shared" si="8"/>
        <v>3.9849458611559569</v>
      </c>
      <c r="K85" s="259" t="s">
        <v>525</v>
      </c>
      <c r="L85" s="350" t="s">
        <v>459</v>
      </c>
      <c r="M85" s="321">
        <f>RICON_Edelstahl!C131</f>
        <v>4.5</v>
      </c>
      <c r="N85" s="321">
        <f>RICON_Edelstahl!F131</f>
        <v>5.1804296195027444</v>
      </c>
      <c r="O85" s="321">
        <f t="shared" si="10"/>
        <v>2.3909675166935744</v>
      </c>
      <c r="P85" s="321">
        <f t="shared" si="10"/>
        <v>2.7894621028091695</v>
      </c>
      <c r="Q85" s="321">
        <f t="shared" si="10"/>
        <v>3.1879566889247655</v>
      </c>
      <c r="R85" s="321">
        <f t="shared" si="10"/>
        <v>3.5864512750403614</v>
      </c>
      <c r="S85" s="321">
        <f t="shared" si="10"/>
        <v>3.9849458611559569</v>
      </c>
    </row>
    <row r="86" spans="1:19" ht="45">
      <c r="A86" s="62" t="s">
        <v>526</v>
      </c>
      <c r="B86" s="279">
        <f>RICON_Edelstahl!C132</f>
        <v>8.1999999999999993</v>
      </c>
      <c r="C86" s="279">
        <f>RICON_Edelstahl!F132</f>
        <v>7.5161100233272613</v>
      </c>
      <c r="D86" s="279">
        <f t="shared" si="7"/>
        <v>3.4689738569202739</v>
      </c>
      <c r="E86" s="279">
        <f t="shared" si="8"/>
        <v>4.0471361664069869</v>
      </c>
      <c r="F86" s="279">
        <f t="shared" si="8"/>
        <v>4.6252984758936995</v>
      </c>
      <c r="G86" s="279">
        <f t="shared" si="8"/>
        <v>5.203460785380412</v>
      </c>
      <c r="H86" s="279">
        <f t="shared" si="8"/>
        <v>5.7816230948671237</v>
      </c>
      <c r="K86" s="62" t="s">
        <v>527</v>
      </c>
      <c r="L86" s="350" t="s">
        <v>462</v>
      </c>
      <c r="M86" s="279">
        <f>RICON_Edelstahl!C132</f>
        <v>8.1999999999999993</v>
      </c>
      <c r="N86" s="279">
        <f>RICON_Edelstahl!F132</f>
        <v>7.5161100233272613</v>
      </c>
      <c r="O86" s="279">
        <f t="shared" si="10"/>
        <v>3.4689738569202739</v>
      </c>
      <c r="P86" s="279">
        <f t="shared" si="10"/>
        <v>4.0471361664069869</v>
      </c>
      <c r="Q86" s="279">
        <f t="shared" si="10"/>
        <v>4.6252984758936995</v>
      </c>
      <c r="R86" s="279">
        <f t="shared" si="10"/>
        <v>5.203460785380412</v>
      </c>
      <c r="S86" s="279">
        <f t="shared" si="10"/>
        <v>5.7816230948671237</v>
      </c>
    </row>
    <row r="87" spans="1:19" ht="45">
      <c r="A87" s="62" t="s">
        <v>528</v>
      </c>
      <c r="B87" s="279">
        <f>RICON_Edelstahl!C133</f>
        <v>10.4</v>
      </c>
      <c r="C87" s="279">
        <f>RICON_Edelstahl!F133</f>
        <v>10.360859239005489</v>
      </c>
      <c r="D87" s="279">
        <f t="shared" si="7"/>
        <v>4.7819350333871489</v>
      </c>
      <c r="E87" s="279">
        <f t="shared" si="8"/>
        <v>5.578924205618339</v>
      </c>
      <c r="F87" s="279">
        <f t="shared" si="8"/>
        <v>6.3759133778495309</v>
      </c>
      <c r="G87" s="279">
        <f t="shared" si="8"/>
        <v>7.1729025500807229</v>
      </c>
      <c r="H87" s="279">
        <f t="shared" si="8"/>
        <v>7.9698917223119139</v>
      </c>
      <c r="K87" s="62" t="s">
        <v>529</v>
      </c>
      <c r="L87" s="350" t="s">
        <v>463</v>
      </c>
      <c r="M87" s="279">
        <f>RICON_Edelstahl!C133</f>
        <v>10.4</v>
      </c>
      <c r="N87" s="279">
        <f>RICON_Edelstahl!F133</f>
        <v>10.360859239005489</v>
      </c>
      <c r="O87" s="279">
        <f t="shared" si="10"/>
        <v>4.7819350333871489</v>
      </c>
      <c r="P87" s="279">
        <f t="shared" si="10"/>
        <v>5.578924205618339</v>
      </c>
      <c r="Q87" s="279">
        <f t="shared" si="10"/>
        <v>6.3759133778495309</v>
      </c>
      <c r="R87" s="279">
        <f t="shared" si="10"/>
        <v>7.1729025500807229</v>
      </c>
      <c r="S87" s="279">
        <f t="shared" si="10"/>
        <v>7.9698917223119139</v>
      </c>
    </row>
    <row r="88" spans="1:19" ht="45">
      <c r="A88" s="62" t="s">
        <v>530</v>
      </c>
      <c r="B88" s="279">
        <f>RICON_Edelstahl!C134</f>
        <v>13.4</v>
      </c>
      <c r="C88" s="279">
        <f>RICON_Edelstahl!F134</f>
        <v>13.205608454683714</v>
      </c>
      <c r="D88" s="279">
        <f t="shared" si="7"/>
        <v>6.0948962098540216</v>
      </c>
      <c r="E88" s="279">
        <f t="shared" si="8"/>
        <v>7.1107122448296911</v>
      </c>
      <c r="F88" s="279">
        <f t="shared" si="8"/>
        <v>8.1265282798053633</v>
      </c>
      <c r="G88" s="279">
        <f t="shared" si="8"/>
        <v>9.1423443147810328</v>
      </c>
      <c r="H88" s="279">
        <f t="shared" si="8"/>
        <v>10.158160349756702</v>
      </c>
      <c r="K88" s="62" t="s">
        <v>531</v>
      </c>
      <c r="L88" s="350" t="s">
        <v>464</v>
      </c>
      <c r="M88" s="279">
        <f>RICON_Edelstahl!C134</f>
        <v>13.4</v>
      </c>
      <c r="N88" s="279">
        <f>RICON_Edelstahl!F134</f>
        <v>13.205608454683714</v>
      </c>
      <c r="O88" s="279">
        <f t="shared" si="10"/>
        <v>6.0948962098540216</v>
      </c>
      <c r="P88" s="279">
        <f t="shared" si="10"/>
        <v>7.1107122448296911</v>
      </c>
      <c r="Q88" s="279">
        <f t="shared" si="10"/>
        <v>8.1265282798053633</v>
      </c>
      <c r="R88" s="279">
        <f t="shared" si="10"/>
        <v>9.1423443147810328</v>
      </c>
      <c r="S88" s="279">
        <f t="shared" si="10"/>
        <v>10.158160349756702</v>
      </c>
    </row>
    <row r="89" spans="1:19" ht="45">
      <c r="A89" s="62" t="s">
        <v>532</v>
      </c>
      <c r="B89" s="279">
        <f>RICON_Edelstahl!C135</f>
        <v>13.4</v>
      </c>
      <c r="C89" s="279">
        <f>RICON_Edelstahl!F135</f>
        <v>16.05035767036194</v>
      </c>
      <c r="D89" s="279">
        <f t="shared" si="7"/>
        <v>7.4078573863208952</v>
      </c>
      <c r="E89" s="279">
        <f t="shared" si="8"/>
        <v>8.6425002840410432</v>
      </c>
      <c r="F89" s="279">
        <f t="shared" si="8"/>
        <v>9.8771431817611948</v>
      </c>
      <c r="G89" s="279">
        <f t="shared" si="8"/>
        <v>11.111786079481343</v>
      </c>
      <c r="H89" s="279">
        <f t="shared" si="8"/>
        <v>12.346428977201493</v>
      </c>
      <c r="K89" s="62" t="s">
        <v>533</v>
      </c>
      <c r="L89" s="350" t="s">
        <v>465</v>
      </c>
      <c r="M89" s="279">
        <f>RICON_Edelstahl!C135</f>
        <v>13.4</v>
      </c>
      <c r="N89" s="279">
        <f>RICON_Edelstahl!F135</f>
        <v>16.05035767036194</v>
      </c>
      <c r="O89" s="279">
        <f t="shared" si="10"/>
        <v>7.4078573863208952</v>
      </c>
      <c r="P89" s="279">
        <f t="shared" si="10"/>
        <v>8.6425002840410432</v>
      </c>
      <c r="Q89" s="279">
        <f t="shared" si="10"/>
        <v>9.8771431817611948</v>
      </c>
      <c r="R89" s="279">
        <f t="shared" si="10"/>
        <v>11.111786079481343</v>
      </c>
      <c r="S89" s="279">
        <f t="shared" si="10"/>
        <v>12.346428977201493</v>
      </c>
    </row>
    <row r="90" spans="1:19" ht="45">
      <c r="A90" s="62" t="s">
        <v>534</v>
      </c>
      <c r="B90" s="279">
        <f>RICON_Edelstahl!C136</f>
        <v>13.4</v>
      </c>
      <c r="C90" s="279">
        <f>RICON_Edelstahl!F136</f>
        <v>18.895106886040168</v>
      </c>
      <c r="D90" s="279">
        <f t="shared" si="7"/>
        <v>8.7208185627877697</v>
      </c>
      <c r="E90" s="279">
        <f t="shared" ref="E90:H97" si="11">MIN($B90/1,$C90*E$73/1.3)</f>
        <v>10.174288323252396</v>
      </c>
      <c r="F90" s="279">
        <f t="shared" si="11"/>
        <v>11.627758083717026</v>
      </c>
      <c r="G90" s="279">
        <f t="shared" si="11"/>
        <v>13.081227844181655</v>
      </c>
      <c r="H90" s="279">
        <f t="shared" si="11"/>
        <v>13.4</v>
      </c>
      <c r="K90" s="62" t="s">
        <v>535</v>
      </c>
      <c r="L90" s="350" t="s">
        <v>451</v>
      </c>
      <c r="M90" s="279">
        <f>RICON_Edelstahl!C136</f>
        <v>13.4</v>
      </c>
      <c r="N90" s="279">
        <f>RICON_Edelstahl!F136</f>
        <v>18.895106886040168</v>
      </c>
      <c r="O90" s="279">
        <f t="shared" si="10"/>
        <v>8.7208185627877697</v>
      </c>
      <c r="P90" s="279">
        <f t="shared" si="10"/>
        <v>10.174288323252396</v>
      </c>
      <c r="Q90" s="279">
        <f t="shared" si="10"/>
        <v>11.627758083717026</v>
      </c>
      <c r="R90" s="279">
        <f t="shared" si="10"/>
        <v>13.081227844181655</v>
      </c>
      <c r="S90" s="279">
        <f t="shared" si="10"/>
        <v>13.4</v>
      </c>
    </row>
    <row r="91" spans="1:19" ht="45">
      <c r="A91" s="62" t="s">
        <v>536</v>
      </c>
      <c r="B91" s="279">
        <f>RICON_Edelstahl!C137</f>
        <v>13.4</v>
      </c>
      <c r="C91" s="279">
        <f>RICON_Edelstahl!F137</f>
        <v>12.696539642830006</v>
      </c>
      <c r="D91" s="279">
        <f t="shared" si="7"/>
        <v>5.8599413736138484</v>
      </c>
      <c r="E91" s="279">
        <f t="shared" si="11"/>
        <v>6.8365982692161564</v>
      </c>
      <c r="F91" s="279">
        <f t="shared" si="11"/>
        <v>7.8132551648184654</v>
      </c>
      <c r="G91" s="279">
        <f t="shared" si="11"/>
        <v>8.7899120604207734</v>
      </c>
      <c r="H91" s="279">
        <f t="shared" si="11"/>
        <v>9.7665689560230806</v>
      </c>
      <c r="K91" s="62" t="s">
        <v>537</v>
      </c>
      <c r="L91" s="350" t="s">
        <v>451</v>
      </c>
      <c r="M91" s="279">
        <f>RICON_Edelstahl!C137</f>
        <v>13.4</v>
      </c>
      <c r="N91" s="279">
        <f>RICON_Edelstahl!F137</f>
        <v>12.696539642830006</v>
      </c>
      <c r="O91" s="279">
        <f t="shared" si="10"/>
        <v>5.8599413736138484</v>
      </c>
      <c r="P91" s="279">
        <f t="shared" si="10"/>
        <v>6.8365982692161564</v>
      </c>
      <c r="Q91" s="279">
        <f t="shared" si="10"/>
        <v>7.8132551648184654</v>
      </c>
      <c r="R91" s="279">
        <f t="shared" si="10"/>
        <v>8.7899120604207734</v>
      </c>
      <c r="S91" s="279">
        <f t="shared" si="10"/>
        <v>9.7665689560230806</v>
      </c>
    </row>
    <row r="92" spans="1:19" ht="45">
      <c r="A92" s="62" t="s">
        <v>538</v>
      </c>
      <c r="B92" s="279">
        <f>RICON_Edelstahl!C138</f>
        <v>13.4</v>
      </c>
      <c r="C92" s="279">
        <f>RICON_Edelstahl!F138</f>
        <v>18.386038074186459</v>
      </c>
      <c r="D92" s="279">
        <f t="shared" si="7"/>
        <v>8.4858637265475956</v>
      </c>
      <c r="E92" s="279">
        <f t="shared" si="11"/>
        <v>9.9001743476388615</v>
      </c>
      <c r="F92" s="279">
        <f t="shared" si="11"/>
        <v>11.314484968730129</v>
      </c>
      <c r="G92" s="279">
        <f t="shared" si="11"/>
        <v>12.728795589821393</v>
      </c>
      <c r="H92" s="279">
        <f t="shared" si="11"/>
        <v>13.4</v>
      </c>
      <c r="K92" s="62" t="s">
        <v>539</v>
      </c>
      <c r="L92" s="350" t="s">
        <v>452</v>
      </c>
      <c r="M92" s="279">
        <f>RICON_Edelstahl!C138</f>
        <v>13.4</v>
      </c>
      <c r="N92" s="279">
        <f>RICON_Edelstahl!F138</f>
        <v>18.386038074186459</v>
      </c>
      <c r="O92" s="279">
        <f t="shared" si="10"/>
        <v>8.4858637265475956</v>
      </c>
      <c r="P92" s="279">
        <f t="shared" si="10"/>
        <v>9.9001743476388615</v>
      </c>
      <c r="Q92" s="279">
        <f t="shared" si="10"/>
        <v>11.314484968730129</v>
      </c>
      <c r="R92" s="279">
        <f t="shared" si="10"/>
        <v>12.728795589821393</v>
      </c>
      <c r="S92" s="279">
        <f t="shared" si="10"/>
        <v>13.4</v>
      </c>
    </row>
    <row r="93" spans="1:19" ht="45">
      <c r="A93" s="62" t="s">
        <v>540</v>
      </c>
      <c r="B93" s="279">
        <f>RICON_Edelstahl!C139</f>
        <v>13.4</v>
      </c>
      <c r="C93" s="279">
        <f>RICON_Edelstahl!F139</f>
        <v>24.07553650554291</v>
      </c>
      <c r="D93" s="279">
        <f t="shared" si="7"/>
        <v>11.111786079481341</v>
      </c>
      <c r="E93" s="279">
        <f t="shared" si="11"/>
        <v>12.963750426061566</v>
      </c>
      <c r="F93" s="279">
        <f t="shared" si="11"/>
        <v>13.4</v>
      </c>
      <c r="G93" s="279">
        <f t="shared" si="11"/>
        <v>13.4</v>
      </c>
      <c r="H93" s="279">
        <f t="shared" si="11"/>
        <v>13.4</v>
      </c>
      <c r="K93" s="62" t="s">
        <v>541</v>
      </c>
      <c r="L93" s="350" t="s">
        <v>453</v>
      </c>
      <c r="M93" s="279">
        <f>RICON_Edelstahl!C139</f>
        <v>13.4</v>
      </c>
      <c r="N93" s="279">
        <f>RICON_Edelstahl!F139</f>
        <v>24.07553650554291</v>
      </c>
      <c r="O93" s="279">
        <f t="shared" si="10"/>
        <v>11.111786079481341</v>
      </c>
      <c r="P93" s="279">
        <f t="shared" si="10"/>
        <v>12.963750426061566</v>
      </c>
      <c r="Q93" s="279">
        <f t="shared" si="10"/>
        <v>13.4</v>
      </c>
      <c r="R93" s="279">
        <f t="shared" si="10"/>
        <v>13.4</v>
      </c>
      <c r="S93" s="279">
        <f t="shared" si="10"/>
        <v>13.4</v>
      </c>
    </row>
    <row r="94" spans="1:19" ht="45">
      <c r="A94" s="62" t="s">
        <v>542</v>
      </c>
      <c r="B94" s="279">
        <f>RICON_Edelstahl!C140</f>
        <v>13.4</v>
      </c>
      <c r="C94" s="279">
        <f>RICON_Edelstahl!F140</f>
        <v>29.765034936899362</v>
      </c>
      <c r="D94" s="279">
        <f t="shared" si="7"/>
        <v>13.4</v>
      </c>
      <c r="E94" s="279">
        <f t="shared" si="11"/>
        <v>13.4</v>
      </c>
      <c r="F94" s="279">
        <f t="shared" si="11"/>
        <v>13.4</v>
      </c>
      <c r="G94" s="279">
        <f t="shared" si="11"/>
        <v>13.4</v>
      </c>
      <c r="H94" s="279">
        <f t="shared" si="11"/>
        <v>13.4</v>
      </c>
      <c r="K94" s="62" t="s">
        <v>543</v>
      </c>
      <c r="L94" s="350" t="s">
        <v>454</v>
      </c>
      <c r="M94" s="279">
        <f>RICON_Edelstahl!C140</f>
        <v>13.4</v>
      </c>
      <c r="N94" s="279">
        <f>RICON_Edelstahl!F140</f>
        <v>29.765034936899362</v>
      </c>
      <c r="O94" s="279">
        <f t="shared" si="10"/>
        <v>13.4</v>
      </c>
      <c r="P94" s="279">
        <f t="shared" si="10"/>
        <v>13.4</v>
      </c>
      <c r="Q94" s="279">
        <f t="shared" si="10"/>
        <v>13.4</v>
      </c>
      <c r="R94" s="279">
        <f t="shared" si="10"/>
        <v>13.4</v>
      </c>
      <c r="S94" s="279">
        <f t="shared" si="10"/>
        <v>13.4</v>
      </c>
    </row>
    <row r="95" spans="1:19" ht="45.75" thickBot="1">
      <c r="A95" s="283" t="s">
        <v>544</v>
      </c>
      <c r="B95" s="318">
        <f>RICON_Edelstahl!C141</f>
        <v>13.4</v>
      </c>
      <c r="C95" s="318">
        <f>RICON_Edelstahl!F141</f>
        <v>35.454533368255817</v>
      </c>
      <c r="D95" s="318">
        <f t="shared" si="7"/>
        <v>13.4</v>
      </c>
      <c r="E95" s="318">
        <f t="shared" si="11"/>
        <v>13.4</v>
      </c>
      <c r="F95" s="318">
        <f t="shared" si="11"/>
        <v>13.4</v>
      </c>
      <c r="G95" s="318">
        <f t="shared" si="11"/>
        <v>13.4</v>
      </c>
      <c r="H95" s="318">
        <f t="shared" si="11"/>
        <v>13.4</v>
      </c>
      <c r="K95" s="283" t="s">
        <v>545</v>
      </c>
      <c r="L95" s="358" t="s">
        <v>455</v>
      </c>
      <c r="M95" s="318">
        <f>RICON_Edelstahl!C141</f>
        <v>13.4</v>
      </c>
      <c r="N95" s="318">
        <f>RICON_Edelstahl!F141</f>
        <v>35.454533368255817</v>
      </c>
      <c r="O95" s="318">
        <f t="shared" si="10"/>
        <v>13.4</v>
      </c>
      <c r="P95" s="318">
        <f t="shared" si="10"/>
        <v>13.4</v>
      </c>
      <c r="Q95" s="318">
        <f t="shared" si="10"/>
        <v>13.4</v>
      </c>
      <c r="R95" s="318">
        <f t="shared" si="10"/>
        <v>13.4</v>
      </c>
      <c r="S95" s="318">
        <f t="shared" si="10"/>
        <v>13.4</v>
      </c>
    </row>
    <row r="96" spans="1:19" ht="45.75" thickTop="1">
      <c r="A96" s="259" t="s">
        <v>546</v>
      </c>
      <c r="B96" s="321">
        <f>RICON_Edelstahl!C146</f>
        <v>3.7</v>
      </c>
      <c r="C96" s="321">
        <f>RICON_Edelstahl!F146</f>
        <v>5.0646478158177981</v>
      </c>
      <c r="D96" s="321">
        <f t="shared" si="7"/>
        <v>2.3375297611466759</v>
      </c>
      <c r="E96" s="321">
        <f t="shared" si="11"/>
        <v>2.7271180546711218</v>
      </c>
      <c r="F96" s="321">
        <f t="shared" si="11"/>
        <v>3.1167063481955686</v>
      </c>
      <c r="G96" s="321">
        <f t="shared" si="11"/>
        <v>3.5062946417200136</v>
      </c>
      <c r="H96" s="321">
        <f t="shared" si="11"/>
        <v>3.7</v>
      </c>
      <c r="K96" s="259" t="s">
        <v>547</v>
      </c>
      <c r="L96" s="357" t="s">
        <v>584</v>
      </c>
      <c r="M96" s="321">
        <f>RICON_Edelstahl!C146</f>
        <v>3.7</v>
      </c>
      <c r="N96" s="321">
        <f>RICON_Edelstahl!F146</f>
        <v>5.0646478158177981</v>
      </c>
      <c r="O96" s="321">
        <f t="shared" si="10"/>
        <v>2.3375297611466759</v>
      </c>
      <c r="P96" s="321">
        <f t="shared" si="10"/>
        <v>2.7271180546711218</v>
      </c>
      <c r="Q96" s="321">
        <f t="shared" si="10"/>
        <v>3.1167063481955686</v>
      </c>
      <c r="R96" s="321">
        <f t="shared" si="10"/>
        <v>3.5062946417200136</v>
      </c>
      <c r="S96" s="321">
        <f t="shared" si="10"/>
        <v>3.7</v>
      </c>
    </row>
    <row r="97" spans="1:19" ht="45">
      <c r="A97" s="259" t="s">
        <v>548</v>
      </c>
      <c r="B97" s="279">
        <f>RICON_Edelstahl!C147</f>
        <v>3.7</v>
      </c>
      <c r="C97" s="279">
        <f>RICON_Edelstahl!F147</f>
        <v>5.0646478158177981</v>
      </c>
      <c r="D97" s="279">
        <f t="shared" si="7"/>
        <v>2.3375297611466759</v>
      </c>
      <c r="E97" s="279">
        <f t="shared" si="11"/>
        <v>2.7271180546711218</v>
      </c>
      <c r="F97" s="279">
        <f t="shared" si="11"/>
        <v>3.1167063481955686</v>
      </c>
      <c r="G97" s="279">
        <f t="shared" si="11"/>
        <v>3.5062946417200136</v>
      </c>
      <c r="H97" s="279">
        <f t="shared" si="11"/>
        <v>3.7</v>
      </c>
      <c r="K97" s="259" t="s">
        <v>549</v>
      </c>
      <c r="L97" s="357" t="s">
        <v>583</v>
      </c>
      <c r="M97" s="279">
        <f>RICON_Edelstahl!C147</f>
        <v>3.7</v>
      </c>
      <c r="N97" s="279">
        <f>RICON_Edelstahl!F147</f>
        <v>5.0646478158177981</v>
      </c>
      <c r="O97" s="279">
        <f t="shared" si="10"/>
        <v>2.3375297611466759</v>
      </c>
      <c r="P97" s="279">
        <f t="shared" si="10"/>
        <v>2.7271180546711218</v>
      </c>
      <c r="Q97" s="279">
        <f t="shared" si="10"/>
        <v>3.1167063481955686</v>
      </c>
      <c r="R97" s="279">
        <f t="shared" si="10"/>
        <v>3.5062946417200136</v>
      </c>
      <c r="S97" s="279">
        <f t="shared" si="10"/>
        <v>3.7</v>
      </c>
    </row>
    <row r="98" spans="1:19">
      <c r="A98" s="68"/>
      <c r="B98" s="338"/>
      <c r="C98" s="338"/>
      <c r="D98" s="338"/>
      <c r="E98" s="338"/>
      <c r="F98" s="338"/>
      <c r="G98" s="338"/>
      <c r="H98" s="338"/>
      <c r="K98" s="68"/>
      <c r="L98" s="68"/>
      <c r="M98" s="338"/>
      <c r="N98" s="338"/>
      <c r="O98" s="338"/>
      <c r="P98" s="338"/>
      <c r="Q98" s="338"/>
      <c r="R98" s="338"/>
      <c r="S98" s="338"/>
    </row>
    <row r="99" spans="1:19">
      <c r="A99" s="68"/>
      <c r="B99" s="338"/>
      <c r="C99" s="338"/>
      <c r="D99" s="338"/>
      <c r="E99" s="338"/>
      <c r="F99" s="338"/>
      <c r="G99" s="338"/>
      <c r="H99" s="338"/>
      <c r="K99" s="68"/>
      <c r="L99" s="68"/>
      <c r="M99" s="338"/>
      <c r="N99" s="338"/>
      <c r="O99" s="338"/>
      <c r="P99" s="338"/>
      <c r="Q99" s="338"/>
      <c r="R99" s="338"/>
      <c r="S99" s="338"/>
    </row>
    <row r="100" spans="1:19" ht="18.75">
      <c r="A100" s="792" t="s">
        <v>441</v>
      </c>
      <c r="B100" s="792"/>
      <c r="C100" s="792"/>
      <c r="D100" s="792"/>
      <c r="E100" s="792"/>
      <c r="F100" s="792"/>
      <c r="G100" s="792"/>
      <c r="H100" s="792"/>
      <c r="K100" s="792" t="s">
        <v>442</v>
      </c>
      <c r="L100" s="792"/>
      <c r="M100" s="792"/>
      <c r="N100" s="792"/>
      <c r="O100" s="792"/>
      <c r="P100" s="792"/>
      <c r="Q100" s="792"/>
      <c r="R100" s="792"/>
      <c r="S100" s="792"/>
    </row>
    <row r="101" spans="1:19" ht="18.75">
      <c r="A101" s="339" t="s">
        <v>475</v>
      </c>
      <c r="K101" s="339" t="s">
        <v>418</v>
      </c>
      <c r="L101" s="339"/>
    </row>
    <row r="102" spans="1:19" ht="18.75">
      <c r="A102" s="339"/>
      <c r="K102" s="339"/>
      <c r="L102" s="339"/>
    </row>
    <row r="103" spans="1:19" ht="18.75">
      <c r="A103" s="339"/>
      <c r="K103" s="339"/>
      <c r="L103" s="339"/>
    </row>
    <row r="104" spans="1:19" ht="18.75">
      <c r="A104" s="339"/>
      <c r="K104" s="339"/>
      <c r="L104" s="339"/>
    </row>
    <row r="105" spans="1:19" ht="18.75">
      <c r="A105" s="339"/>
      <c r="K105" s="339"/>
      <c r="L105" s="339"/>
    </row>
    <row r="106" spans="1:19" ht="18.75">
      <c r="A106" s="339"/>
      <c r="K106" s="339"/>
      <c r="L106" s="339"/>
    </row>
    <row r="107" spans="1:19" ht="18.75">
      <c r="A107" s="339"/>
      <c r="K107" s="339"/>
      <c r="L107" s="339"/>
    </row>
    <row r="108" spans="1:19" ht="18.75">
      <c r="A108" s="339"/>
      <c r="K108" s="339"/>
      <c r="L108" s="339"/>
    </row>
    <row r="109" spans="1:19" ht="21">
      <c r="A109" s="336" t="s">
        <v>388</v>
      </c>
      <c r="K109" s="336" t="s">
        <v>388</v>
      </c>
      <c r="L109" s="336"/>
    </row>
    <row r="110" spans="1:19" ht="15" customHeight="1">
      <c r="A110" s="3" t="s">
        <v>2</v>
      </c>
      <c r="B110" s="664" t="s">
        <v>387</v>
      </c>
      <c r="C110" s="666"/>
      <c r="D110" s="664" t="s">
        <v>394</v>
      </c>
      <c r="E110" s="665"/>
      <c r="F110" s="665"/>
      <c r="G110" s="665"/>
      <c r="H110" s="666"/>
      <c r="K110" s="3" t="s">
        <v>2</v>
      </c>
      <c r="L110" s="356" t="s">
        <v>581</v>
      </c>
      <c r="M110" s="793" t="s">
        <v>423</v>
      </c>
      <c r="N110" s="793"/>
      <c r="O110" s="664" t="s">
        <v>421</v>
      </c>
      <c r="P110" s="665"/>
      <c r="Q110" s="665"/>
      <c r="R110" s="665"/>
      <c r="S110" s="666"/>
    </row>
    <row r="111" spans="1:19" ht="27.75" customHeight="1">
      <c r="A111" s="7"/>
      <c r="B111" s="41" t="s">
        <v>384</v>
      </c>
      <c r="C111" s="41" t="s">
        <v>385</v>
      </c>
      <c r="D111" s="87">
        <v>0.6</v>
      </c>
      <c r="E111" s="87">
        <v>0.7</v>
      </c>
      <c r="F111" s="87">
        <v>0.8</v>
      </c>
      <c r="G111" s="87">
        <v>0.9</v>
      </c>
      <c r="H111" s="87">
        <v>1</v>
      </c>
      <c r="K111" s="7"/>
      <c r="L111" s="354" t="s">
        <v>580</v>
      </c>
      <c r="M111" s="41" t="s">
        <v>384</v>
      </c>
      <c r="N111" s="41" t="s">
        <v>385</v>
      </c>
      <c r="O111" s="87">
        <v>0.6</v>
      </c>
      <c r="P111" s="87">
        <v>0.7</v>
      </c>
      <c r="Q111" s="87">
        <v>0.8</v>
      </c>
      <c r="R111" s="87">
        <v>0.9</v>
      </c>
      <c r="S111" s="87">
        <v>1</v>
      </c>
    </row>
    <row r="112" spans="1:19" ht="45">
      <c r="A112" s="62" t="s">
        <v>551</v>
      </c>
      <c r="B112" s="279">
        <f>'RICON_RICON-S-EK_GIGANT_WALCO '!C127</f>
        <v>17</v>
      </c>
      <c r="C112" s="279">
        <f>'RICON_RICON-S-EK_GIGANT_WALCO '!F127</f>
        <v>12.49450681193213</v>
      </c>
      <c r="D112" s="279">
        <f>MIN($B112/1,$C112*D$111/1.3)</f>
        <v>5.7666954516609827</v>
      </c>
      <c r="E112" s="279">
        <f t="shared" ref="E112:H116" si="12">MIN($B112/1,$C112*E$111/1.3)</f>
        <v>6.7278113602711462</v>
      </c>
      <c r="F112" s="279">
        <f t="shared" si="12"/>
        <v>7.6889272688813115</v>
      </c>
      <c r="G112" s="279">
        <f t="shared" si="12"/>
        <v>8.6500431774914741</v>
      </c>
      <c r="H112" s="279">
        <f t="shared" si="12"/>
        <v>9.6111590861016385</v>
      </c>
      <c r="K112" s="62" t="s">
        <v>552</v>
      </c>
      <c r="L112" s="350" t="s">
        <v>585</v>
      </c>
      <c r="M112" s="279">
        <f>'RICON_RICON-S-EK_GIGANT_WALCO '!C127</f>
        <v>17</v>
      </c>
      <c r="N112" s="279">
        <f>'RICON_RICON-S-EK_GIGANT_WALCO '!F127</f>
        <v>12.49450681193213</v>
      </c>
      <c r="O112" s="279">
        <f t="shared" ref="O112:S116" si="13">MIN($B112/1,$C112*O$111/1.3)</f>
        <v>5.7666954516609827</v>
      </c>
      <c r="P112" s="279">
        <f t="shared" si="13"/>
        <v>6.7278113602711462</v>
      </c>
      <c r="Q112" s="279">
        <f t="shared" si="13"/>
        <v>7.6889272688813115</v>
      </c>
      <c r="R112" s="279">
        <f t="shared" si="13"/>
        <v>8.6500431774914741</v>
      </c>
      <c r="S112" s="279">
        <f t="shared" si="13"/>
        <v>9.6111590861016385</v>
      </c>
    </row>
    <row r="113" spans="1:19" ht="60">
      <c r="A113" s="61" t="s">
        <v>553</v>
      </c>
      <c r="B113" s="279">
        <f>'RICON_RICON-S-EK_GIGANT_WALCO '!C128</f>
        <v>24</v>
      </c>
      <c r="C113" s="279">
        <f>'RICON_RICON-S-EK_GIGANT_WALCO '!F128</f>
        <v>16.659342415909506</v>
      </c>
      <c r="D113" s="279">
        <f>MIN($B113/1,$C113*D$111/1.3)</f>
        <v>7.6889272688813097</v>
      </c>
      <c r="E113" s="279">
        <f t="shared" si="12"/>
        <v>8.970415147028195</v>
      </c>
      <c r="F113" s="279">
        <f t="shared" si="12"/>
        <v>10.251903025175082</v>
      </c>
      <c r="G113" s="279">
        <f t="shared" si="12"/>
        <v>11.533390903321965</v>
      </c>
      <c r="H113" s="279">
        <f t="shared" si="12"/>
        <v>12.814878781468851</v>
      </c>
      <c r="K113" s="61" t="s">
        <v>554</v>
      </c>
      <c r="L113" s="350" t="s">
        <v>595</v>
      </c>
      <c r="M113" s="279">
        <f>'RICON_RICON-S-EK_GIGANT_WALCO '!C128</f>
        <v>24</v>
      </c>
      <c r="N113" s="279">
        <f>'RICON_RICON-S-EK_GIGANT_WALCO '!F128</f>
        <v>16.659342415909506</v>
      </c>
      <c r="O113" s="279">
        <f t="shared" si="13"/>
        <v>7.6889272688813097</v>
      </c>
      <c r="P113" s="279">
        <f t="shared" si="13"/>
        <v>8.970415147028195</v>
      </c>
      <c r="Q113" s="279">
        <f t="shared" si="13"/>
        <v>10.251903025175082</v>
      </c>
      <c r="R113" s="279">
        <f t="shared" si="13"/>
        <v>11.533390903321965</v>
      </c>
      <c r="S113" s="279">
        <f t="shared" si="13"/>
        <v>12.814878781468851</v>
      </c>
    </row>
    <row r="114" spans="1:19" ht="60">
      <c r="A114" s="61" t="s">
        <v>555</v>
      </c>
      <c r="B114" s="279">
        <f>'RICON_RICON-S-EK_GIGANT_WALCO '!C130</f>
        <v>24</v>
      </c>
      <c r="C114" s="279">
        <f>'RICON_RICON-S-EK_GIGANT_WALCO '!F130</f>
        <v>16.659342415909506</v>
      </c>
      <c r="D114" s="279">
        <f>MIN($B114/1,$C114*D$111/1.3)</f>
        <v>7.6889272688813097</v>
      </c>
      <c r="E114" s="279">
        <f t="shared" si="12"/>
        <v>8.970415147028195</v>
      </c>
      <c r="F114" s="279">
        <f t="shared" si="12"/>
        <v>10.251903025175082</v>
      </c>
      <c r="G114" s="279">
        <f t="shared" si="12"/>
        <v>11.533390903321965</v>
      </c>
      <c r="H114" s="279">
        <f t="shared" si="12"/>
        <v>12.814878781468851</v>
      </c>
      <c r="K114" s="61" t="s">
        <v>556</v>
      </c>
      <c r="L114" s="350" t="s">
        <v>596</v>
      </c>
      <c r="M114" s="279">
        <f>'RICON_RICON-S-EK_GIGANT_WALCO '!C130</f>
        <v>24</v>
      </c>
      <c r="N114" s="279">
        <f>'RICON_RICON-S-EK_GIGANT_WALCO '!F130</f>
        <v>16.659342415909506</v>
      </c>
      <c r="O114" s="279">
        <f t="shared" si="13"/>
        <v>7.6889272688813097</v>
      </c>
      <c r="P114" s="279">
        <f t="shared" si="13"/>
        <v>8.970415147028195</v>
      </c>
      <c r="Q114" s="279">
        <f t="shared" si="13"/>
        <v>10.251903025175082</v>
      </c>
      <c r="R114" s="279">
        <f t="shared" si="13"/>
        <v>11.533390903321965</v>
      </c>
      <c r="S114" s="279">
        <f t="shared" si="13"/>
        <v>12.814878781468851</v>
      </c>
    </row>
    <row r="115" spans="1:19" ht="60">
      <c r="A115" s="61" t="s">
        <v>557</v>
      </c>
      <c r="B115" s="279">
        <f>'RICON_RICON-S-EK_GIGANT_WALCO '!C131</f>
        <v>33</v>
      </c>
      <c r="C115" s="279">
        <f>'RICON_RICON-S-EK_GIGANT_WALCO '!F131</f>
        <v>24.98901362386426</v>
      </c>
      <c r="D115" s="279">
        <f>MIN($B115/1,$C115*D$111/1.3)</f>
        <v>11.533390903321965</v>
      </c>
      <c r="E115" s="279">
        <f t="shared" si="12"/>
        <v>13.455622720542292</v>
      </c>
      <c r="F115" s="279">
        <f t="shared" si="12"/>
        <v>15.377854537762623</v>
      </c>
      <c r="G115" s="279">
        <f t="shared" si="12"/>
        <v>17.300086354982948</v>
      </c>
      <c r="H115" s="279">
        <f t="shared" si="12"/>
        <v>19.222318172203277</v>
      </c>
      <c r="K115" s="61" t="s">
        <v>558</v>
      </c>
      <c r="L115" s="350" t="s">
        <v>597</v>
      </c>
      <c r="M115" s="279">
        <f>'RICON_RICON-S-EK_GIGANT_WALCO '!C131</f>
        <v>33</v>
      </c>
      <c r="N115" s="279">
        <f>'RICON_RICON-S-EK_GIGANT_WALCO '!F131</f>
        <v>24.98901362386426</v>
      </c>
      <c r="O115" s="279">
        <f t="shared" si="13"/>
        <v>11.533390903321965</v>
      </c>
      <c r="P115" s="279">
        <f t="shared" si="13"/>
        <v>13.455622720542292</v>
      </c>
      <c r="Q115" s="279">
        <f t="shared" si="13"/>
        <v>15.377854537762623</v>
      </c>
      <c r="R115" s="279">
        <f t="shared" si="13"/>
        <v>17.300086354982948</v>
      </c>
      <c r="S115" s="279">
        <f t="shared" si="13"/>
        <v>19.222318172203277</v>
      </c>
    </row>
    <row r="116" spans="1:19" ht="60">
      <c r="A116" s="61" t="s">
        <v>559</v>
      </c>
      <c r="B116" s="279">
        <f>'RICON_RICON-S-EK_GIGANT_WALCO '!C133</f>
        <v>33</v>
      </c>
      <c r="C116" s="279">
        <f>'RICON_RICON-S-EK_GIGANT_WALCO '!F133</f>
        <v>20.824178019886883</v>
      </c>
      <c r="D116" s="279">
        <f>MIN($B116/1,$C116*D$111/1.3)</f>
        <v>9.6111590861016385</v>
      </c>
      <c r="E116" s="279">
        <f t="shared" si="12"/>
        <v>11.213018933785243</v>
      </c>
      <c r="F116" s="279">
        <f t="shared" si="12"/>
        <v>12.814878781468851</v>
      </c>
      <c r="G116" s="279">
        <f t="shared" si="12"/>
        <v>14.416738629152459</v>
      </c>
      <c r="H116" s="279">
        <f t="shared" si="12"/>
        <v>16.018598476836065</v>
      </c>
      <c r="K116" s="61" t="s">
        <v>560</v>
      </c>
      <c r="L116" s="350" t="s">
        <v>598</v>
      </c>
      <c r="M116" s="279">
        <f>'RICON_RICON-S-EK_GIGANT_WALCO '!C133</f>
        <v>33</v>
      </c>
      <c r="N116" s="279">
        <f>'RICON_RICON-S-EK_GIGANT_WALCO '!F133</f>
        <v>20.824178019886883</v>
      </c>
      <c r="O116" s="279">
        <f t="shared" si="13"/>
        <v>9.6111590861016385</v>
      </c>
      <c r="P116" s="279">
        <f t="shared" si="13"/>
        <v>11.213018933785243</v>
      </c>
      <c r="Q116" s="279">
        <f t="shared" si="13"/>
        <v>12.814878781468851</v>
      </c>
      <c r="R116" s="279">
        <f t="shared" si="13"/>
        <v>14.416738629152459</v>
      </c>
      <c r="S116" s="279">
        <f t="shared" si="13"/>
        <v>16.018598476836065</v>
      </c>
    </row>
    <row r="117" spans="1:19">
      <c r="A117" s="332"/>
      <c r="B117" s="338"/>
      <c r="C117" s="338"/>
      <c r="D117" s="338"/>
      <c r="E117" s="338"/>
      <c r="F117" s="338"/>
      <c r="G117" s="338"/>
      <c r="H117" s="338"/>
      <c r="K117" s="332"/>
      <c r="L117" s="332"/>
      <c r="M117" s="338"/>
      <c r="N117" s="338"/>
      <c r="O117" s="338"/>
      <c r="P117" s="338"/>
      <c r="Q117" s="338"/>
      <c r="R117" s="338"/>
      <c r="S117" s="338"/>
    </row>
    <row r="118" spans="1:19">
      <c r="A118" s="332"/>
      <c r="B118" s="338"/>
      <c r="C118" s="338"/>
      <c r="D118" s="338"/>
      <c r="E118" s="338"/>
      <c r="F118" s="338"/>
      <c r="G118" s="338"/>
      <c r="H118" s="338"/>
      <c r="K118" s="332"/>
      <c r="L118" s="332"/>
      <c r="M118" s="338"/>
      <c r="N118" s="338"/>
      <c r="O118" s="338"/>
      <c r="P118" s="338"/>
      <c r="Q118" s="338"/>
      <c r="R118" s="338"/>
      <c r="S118" s="338"/>
    </row>
    <row r="119" spans="1:19">
      <c r="A119" s="332"/>
      <c r="B119" s="338"/>
      <c r="C119" s="338"/>
      <c r="D119" s="338"/>
      <c r="E119" s="338"/>
      <c r="F119" s="338"/>
      <c r="G119" s="338"/>
      <c r="H119" s="338"/>
      <c r="K119" s="332"/>
      <c r="L119" s="332"/>
      <c r="M119" s="338"/>
      <c r="N119" s="338"/>
      <c r="O119" s="338"/>
      <c r="P119" s="338"/>
      <c r="Q119" s="338"/>
      <c r="R119" s="338"/>
      <c r="S119" s="338"/>
    </row>
    <row r="120" spans="1:19">
      <c r="A120" s="332"/>
      <c r="B120" s="338"/>
      <c r="C120" s="338"/>
      <c r="D120" s="338"/>
      <c r="E120" s="338"/>
      <c r="F120" s="338"/>
      <c r="G120" s="338"/>
      <c r="H120" s="338"/>
      <c r="K120" s="332"/>
      <c r="L120" s="332"/>
      <c r="M120" s="338"/>
      <c r="N120" s="338"/>
      <c r="O120" s="338"/>
      <c r="P120" s="338"/>
      <c r="Q120" s="338"/>
      <c r="R120" s="338"/>
      <c r="S120" s="338"/>
    </row>
    <row r="121" spans="1:19">
      <c r="A121" s="332"/>
      <c r="B121" s="338"/>
      <c r="C121" s="338"/>
      <c r="D121" s="338"/>
      <c r="E121" s="338"/>
      <c r="F121" s="338"/>
      <c r="G121" s="338"/>
      <c r="H121" s="338"/>
      <c r="K121" s="332"/>
      <c r="L121" s="332"/>
      <c r="M121" s="338"/>
      <c r="N121" s="338"/>
      <c r="O121" s="338"/>
      <c r="P121" s="338"/>
      <c r="Q121" s="338"/>
      <c r="R121" s="338"/>
      <c r="S121" s="338"/>
    </row>
    <row r="122" spans="1:19" ht="18.75">
      <c r="A122" s="792" t="s">
        <v>441</v>
      </c>
      <c r="B122" s="792"/>
      <c r="C122" s="792"/>
      <c r="D122" s="792"/>
      <c r="E122" s="792"/>
      <c r="F122" s="792"/>
      <c r="G122" s="792"/>
      <c r="H122" s="792"/>
      <c r="K122" s="362" t="s">
        <v>442</v>
      </c>
      <c r="L122" s="362"/>
      <c r="M122" s="362"/>
      <c r="N122" s="362"/>
      <c r="O122" s="362"/>
      <c r="P122" s="362"/>
      <c r="Q122" s="362"/>
      <c r="R122" s="362"/>
      <c r="S122" s="362"/>
    </row>
    <row r="123" spans="1:19" ht="18.75">
      <c r="A123" s="339" t="s">
        <v>475</v>
      </c>
      <c r="K123" s="339" t="s">
        <v>418</v>
      </c>
      <c r="L123" s="339"/>
    </row>
    <row r="124" spans="1:19" ht="18.75">
      <c r="A124" s="339"/>
      <c r="K124" s="339"/>
      <c r="L124" s="339"/>
    </row>
    <row r="125" spans="1:19" ht="18.75">
      <c r="A125" s="339"/>
      <c r="K125" s="339"/>
      <c r="L125" s="339"/>
    </row>
    <row r="126" spans="1:19" ht="18.75">
      <c r="A126" s="339"/>
      <c r="K126" s="339"/>
      <c r="L126" s="339"/>
    </row>
    <row r="127" spans="1:19" ht="18.75">
      <c r="A127" s="339"/>
      <c r="K127" s="339"/>
      <c r="L127" s="339"/>
    </row>
    <row r="128" spans="1:19" ht="18.75">
      <c r="A128" s="339"/>
      <c r="K128" s="339"/>
      <c r="L128" s="339"/>
    </row>
    <row r="129" spans="1:19" ht="18.75">
      <c r="A129" s="339"/>
      <c r="K129" s="339"/>
      <c r="L129" s="339"/>
    </row>
    <row r="130" spans="1:19" ht="18.75">
      <c r="A130" s="339"/>
      <c r="K130" s="339"/>
      <c r="L130" s="339"/>
    </row>
    <row r="131" spans="1:19" ht="18.75">
      <c r="A131" s="339"/>
      <c r="K131" s="339"/>
      <c r="L131" s="339"/>
    </row>
    <row r="132" spans="1:19" ht="18.75">
      <c r="A132" s="339"/>
      <c r="K132" s="339"/>
      <c r="L132" s="339"/>
    </row>
    <row r="133" spans="1:19" ht="21">
      <c r="A133" s="335" t="s">
        <v>392</v>
      </c>
      <c r="K133" s="335" t="s">
        <v>449</v>
      </c>
      <c r="L133" s="335"/>
    </row>
    <row r="134" spans="1:19" ht="15" customHeight="1">
      <c r="A134" s="3" t="s">
        <v>386</v>
      </c>
      <c r="B134" s="664" t="s">
        <v>387</v>
      </c>
      <c r="C134" s="666"/>
      <c r="D134" s="664" t="s">
        <v>394</v>
      </c>
      <c r="E134" s="665"/>
      <c r="F134" s="665"/>
      <c r="G134" s="665"/>
      <c r="H134" s="666"/>
      <c r="K134" s="3" t="s">
        <v>2</v>
      </c>
      <c r="L134" s="356" t="s">
        <v>581</v>
      </c>
      <c r="M134" s="793" t="s">
        <v>423</v>
      </c>
      <c r="N134" s="793"/>
      <c r="O134" s="664" t="s">
        <v>421</v>
      </c>
      <c r="P134" s="665"/>
      <c r="Q134" s="665"/>
      <c r="R134" s="665"/>
      <c r="S134" s="666"/>
    </row>
    <row r="135" spans="1:19">
      <c r="A135" s="7"/>
      <c r="B135" s="41" t="s">
        <v>384</v>
      </c>
      <c r="C135" s="41" t="s">
        <v>385</v>
      </c>
      <c r="D135" s="87">
        <v>0.6</v>
      </c>
      <c r="E135" s="87">
        <v>0.7</v>
      </c>
      <c r="F135" s="87">
        <v>0.8</v>
      </c>
      <c r="G135" s="87">
        <v>0.9</v>
      </c>
      <c r="H135" s="87">
        <v>1</v>
      </c>
      <c r="K135" s="7"/>
      <c r="L135" s="354" t="s">
        <v>580</v>
      </c>
      <c r="M135" s="41" t="s">
        <v>384</v>
      </c>
      <c r="N135" s="41" t="s">
        <v>385</v>
      </c>
      <c r="O135" s="87">
        <v>0.6</v>
      </c>
      <c r="P135" s="87">
        <v>0.7</v>
      </c>
      <c r="Q135" s="87">
        <v>0.8</v>
      </c>
      <c r="R135" s="87">
        <v>0.9</v>
      </c>
      <c r="S135" s="87">
        <v>1</v>
      </c>
    </row>
    <row r="136" spans="1:19" ht="45">
      <c r="A136" s="269" t="s">
        <v>561</v>
      </c>
      <c r="B136" s="279">
        <f>'RICON_RICON-S-EK_GIGANT_WALCO '!C274</f>
        <v>34</v>
      </c>
      <c r="C136" s="279">
        <f>'RICON_RICON-S-EK_GIGANT_WALCO '!F274</f>
        <v>37.149991394525706</v>
      </c>
      <c r="D136" s="279">
        <f t="shared" ref="D136:D141" si="14">MIN($B136/1,$C136*D$135/1.3)</f>
        <v>17.146149874396478</v>
      </c>
      <c r="E136" s="279">
        <f t="shared" ref="E136:H141" si="15">MIN($B136/1,$C136*E$135/1.3)</f>
        <v>20.003841520129225</v>
      </c>
      <c r="F136" s="279">
        <f t="shared" si="15"/>
        <v>22.861533165861974</v>
      </c>
      <c r="G136" s="279">
        <f t="shared" si="15"/>
        <v>25.719224811594717</v>
      </c>
      <c r="H136" s="279">
        <f t="shared" si="15"/>
        <v>28.576916457327464</v>
      </c>
      <c r="K136" s="269" t="s">
        <v>607</v>
      </c>
      <c r="L136" s="354" t="s">
        <v>456</v>
      </c>
      <c r="M136" s="279">
        <f>'RICON_RICON-S-EK_GIGANT_WALCO '!C274</f>
        <v>34</v>
      </c>
      <c r="N136" s="279">
        <f>'RICON_RICON-S-EK_GIGANT_WALCO '!F274</f>
        <v>37.149991394525706</v>
      </c>
      <c r="O136" s="279">
        <f t="shared" ref="O136:S141" si="16">MIN($B136/1,$C136*O$135/1.3)</f>
        <v>17.146149874396478</v>
      </c>
      <c r="P136" s="279">
        <f t="shared" si="16"/>
        <v>20.003841520129225</v>
      </c>
      <c r="Q136" s="279">
        <f t="shared" si="16"/>
        <v>22.861533165861974</v>
      </c>
      <c r="R136" s="279">
        <f t="shared" si="16"/>
        <v>25.719224811594717</v>
      </c>
      <c r="S136" s="279">
        <f t="shared" si="16"/>
        <v>28.576916457327464</v>
      </c>
    </row>
    <row r="137" spans="1:19" ht="45">
      <c r="A137" s="224" t="s">
        <v>562</v>
      </c>
      <c r="B137" s="279">
        <f>'RICON_RICON-S-EK_GIGANT_WALCO '!C275</f>
        <v>34</v>
      </c>
      <c r="C137" s="279">
        <f>'RICON_RICON-S-EK_GIGANT_WALCO '!F275</f>
        <v>40.18125965399701</v>
      </c>
      <c r="D137" s="279">
        <f t="shared" si="14"/>
        <v>18.545196763383235</v>
      </c>
      <c r="E137" s="279">
        <f t="shared" si="15"/>
        <v>21.636062890613772</v>
      </c>
      <c r="F137" s="279">
        <f t="shared" si="15"/>
        <v>24.726929017844313</v>
      </c>
      <c r="G137" s="279">
        <f t="shared" si="15"/>
        <v>27.817795145074854</v>
      </c>
      <c r="H137" s="279">
        <f t="shared" si="15"/>
        <v>30.908661272305391</v>
      </c>
      <c r="K137" s="224" t="s">
        <v>608</v>
      </c>
      <c r="L137" s="352" t="s">
        <v>586</v>
      </c>
      <c r="M137" s="279">
        <f>'RICON_RICON-S-EK_GIGANT_WALCO '!C275</f>
        <v>34</v>
      </c>
      <c r="N137" s="279">
        <f>'RICON_RICON-S-EK_GIGANT_WALCO '!F275</f>
        <v>40.18125965399701</v>
      </c>
      <c r="O137" s="279">
        <f t="shared" si="16"/>
        <v>18.545196763383235</v>
      </c>
      <c r="P137" s="279">
        <f t="shared" si="16"/>
        <v>21.636062890613772</v>
      </c>
      <c r="Q137" s="279">
        <f t="shared" si="16"/>
        <v>24.726929017844313</v>
      </c>
      <c r="R137" s="279">
        <f t="shared" si="16"/>
        <v>27.817795145074854</v>
      </c>
      <c r="S137" s="279">
        <f t="shared" si="16"/>
        <v>30.908661272305391</v>
      </c>
    </row>
    <row r="138" spans="1:19" ht="45">
      <c r="A138" s="224" t="s">
        <v>563</v>
      </c>
      <c r="B138" s="279">
        <f>'RICON_RICON-S-EK_GIGANT_WALCO '!C277</f>
        <v>34</v>
      </c>
      <c r="C138" s="279">
        <f>'RICON_RICON-S-EK_GIGANT_WALCO '!F277</f>
        <v>56.710921194381697</v>
      </c>
      <c r="D138" s="279">
        <f t="shared" si="14"/>
        <v>26.174271320483861</v>
      </c>
      <c r="E138" s="279">
        <f t="shared" si="15"/>
        <v>30.536649873897833</v>
      </c>
      <c r="F138" s="279">
        <f t="shared" si="15"/>
        <v>34</v>
      </c>
      <c r="G138" s="279">
        <f t="shared" si="15"/>
        <v>34</v>
      </c>
      <c r="H138" s="279">
        <f t="shared" si="15"/>
        <v>34</v>
      </c>
      <c r="K138" s="224" t="s">
        <v>609</v>
      </c>
      <c r="L138" s="352" t="s">
        <v>457</v>
      </c>
      <c r="M138" s="279">
        <f>'RICON_RICON-S-EK_GIGANT_WALCO '!C277</f>
        <v>34</v>
      </c>
      <c r="N138" s="279">
        <f>'RICON_RICON-S-EK_GIGANT_WALCO '!F277</f>
        <v>56.710921194381697</v>
      </c>
      <c r="O138" s="279">
        <f t="shared" si="16"/>
        <v>26.174271320483861</v>
      </c>
      <c r="P138" s="279">
        <f t="shared" si="16"/>
        <v>30.536649873897833</v>
      </c>
      <c r="Q138" s="279">
        <f t="shared" si="16"/>
        <v>34</v>
      </c>
      <c r="R138" s="279">
        <f t="shared" si="16"/>
        <v>34</v>
      </c>
      <c r="S138" s="279">
        <f t="shared" si="16"/>
        <v>34</v>
      </c>
    </row>
    <row r="139" spans="1:19" ht="45">
      <c r="A139" s="224" t="s">
        <v>564</v>
      </c>
      <c r="B139" s="279">
        <f>'RICON_RICON-S-EK_GIGANT_WALCO '!C278</f>
        <v>34</v>
      </c>
      <c r="C139" s="279">
        <f>'RICON_RICON-S-EK_GIGANT_WALCO '!F278</f>
        <v>66.480609906200655</v>
      </c>
      <c r="D139" s="279">
        <f t="shared" si="14"/>
        <v>30.683358418246456</v>
      </c>
      <c r="E139" s="279">
        <f t="shared" si="15"/>
        <v>34</v>
      </c>
      <c r="F139" s="279">
        <f t="shared" si="15"/>
        <v>34</v>
      </c>
      <c r="G139" s="279">
        <f t="shared" si="15"/>
        <v>34</v>
      </c>
      <c r="H139" s="279">
        <f t="shared" si="15"/>
        <v>34</v>
      </c>
      <c r="K139" s="224" t="s">
        <v>610</v>
      </c>
      <c r="L139" s="352" t="s">
        <v>587</v>
      </c>
      <c r="M139" s="279">
        <f>'RICON_RICON-S-EK_GIGANT_WALCO '!C278</f>
        <v>34</v>
      </c>
      <c r="N139" s="279">
        <f>'RICON_RICON-S-EK_GIGANT_WALCO '!F278</f>
        <v>66.480609906200655</v>
      </c>
      <c r="O139" s="279">
        <f t="shared" si="16"/>
        <v>30.683358418246456</v>
      </c>
      <c r="P139" s="279">
        <f t="shared" si="16"/>
        <v>34</v>
      </c>
      <c r="Q139" s="279">
        <f t="shared" si="16"/>
        <v>34</v>
      </c>
      <c r="R139" s="279">
        <f t="shared" si="16"/>
        <v>34</v>
      </c>
      <c r="S139" s="279">
        <f t="shared" si="16"/>
        <v>34</v>
      </c>
    </row>
    <row r="140" spans="1:19" ht="45">
      <c r="A140" s="224" t="s">
        <v>565</v>
      </c>
      <c r="B140" s="279">
        <f>'RICON_RICON-S-EK_GIGANT_WALCO '!C280</f>
        <v>50</v>
      </c>
      <c r="C140" s="279">
        <f>'RICON_RICON-S-EK_GIGANT_WALCO '!F280</f>
        <v>79.124951595789881</v>
      </c>
      <c r="D140" s="279">
        <f t="shared" si="14"/>
        <v>36.519208428826097</v>
      </c>
      <c r="E140" s="279">
        <f t="shared" si="15"/>
        <v>42.605743166963784</v>
      </c>
      <c r="F140" s="279">
        <f t="shared" si="15"/>
        <v>48.692277905101463</v>
      </c>
      <c r="G140" s="279">
        <f t="shared" si="15"/>
        <v>50</v>
      </c>
      <c r="H140" s="279">
        <f t="shared" si="15"/>
        <v>50</v>
      </c>
      <c r="K140" s="224" t="s">
        <v>611</v>
      </c>
      <c r="L140" s="352" t="s">
        <v>466</v>
      </c>
      <c r="M140" s="279">
        <f>'RICON_RICON-S-EK_GIGANT_WALCO '!C280</f>
        <v>50</v>
      </c>
      <c r="N140" s="279">
        <f>'RICON_RICON-S-EK_GIGANT_WALCO '!F280</f>
        <v>79.124951595789881</v>
      </c>
      <c r="O140" s="279">
        <f t="shared" si="16"/>
        <v>36.519208428826097</v>
      </c>
      <c r="P140" s="279">
        <f t="shared" si="16"/>
        <v>42.605743166963784</v>
      </c>
      <c r="Q140" s="279">
        <f t="shared" si="16"/>
        <v>48.692277905101463</v>
      </c>
      <c r="R140" s="279">
        <f t="shared" si="16"/>
        <v>50</v>
      </c>
      <c r="S140" s="279">
        <f t="shared" si="16"/>
        <v>50</v>
      </c>
    </row>
    <row r="141" spans="1:19" ht="45">
      <c r="A141" s="224" t="s">
        <v>566</v>
      </c>
      <c r="B141" s="279">
        <f>'RICON_RICON-S-EK_GIGANT_WALCO '!C282</f>
        <v>50</v>
      </c>
      <c r="C141" s="279">
        <f>'RICON_RICON-S-EK_GIGANT_WALCO '!F282</f>
        <v>96.723603718619998</v>
      </c>
      <c r="D141" s="279">
        <f t="shared" si="14"/>
        <v>44.641663254747691</v>
      </c>
      <c r="E141" s="279">
        <f t="shared" si="15"/>
        <v>50</v>
      </c>
      <c r="F141" s="279">
        <f t="shared" si="15"/>
        <v>50</v>
      </c>
      <c r="G141" s="279">
        <f t="shared" si="15"/>
        <v>50</v>
      </c>
      <c r="H141" s="279">
        <f t="shared" si="15"/>
        <v>50</v>
      </c>
      <c r="K141" s="224" t="s">
        <v>612</v>
      </c>
      <c r="L141" s="352" t="s">
        <v>467</v>
      </c>
      <c r="M141" s="279">
        <f>'RICON_RICON-S-EK_GIGANT_WALCO '!C282</f>
        <v>50</v>
      </c>
      <c r="N141" s="279">
        <f>'RICON_RICON-S-EK_GIGANT_WALCO '!F282</f>
        <v>96.723603718619998</v>
      </c>
      <c r="O141" s="279">
        <f t="shared" si="16"/>
        <v>44.641663254747691</v>
      </c>
      <c r="P141" s="279">
        <f t="shared" si="16"/>
        <v>50</v>
      </c>
      <c r="Q141" s="279">
        <f t="shared" si="16"/>
        <v>50</v>
      </c>
      <c r="R141" s="279">
        <f t="shared" si="16"/>
        <v>50</v>
      </c>
      <c r="S141" s="279">
        <f t="shared" si="16"/>
        <v>50</v>
      </c>
    </row>
    <row r="142" spans="1:19">
      <c r="A142" s="333"/>
      <c r="B142" s="338"/>
      <c r="C142" s="338"/>
      <c r="D142" s="338"/>
      <c r="E142" s="338"/>
      <c r="F142" s="338"/>
      <c r="G142" s="338"/>
      <c r="H142" s="338"/>
      <c r="K142" s="333"/>
      <c r="L142" s="333"/>
      <c r="M142" s="338"/>
      <c r="N142" s="338"/>
      <c r="O142" s="338"/>
      <c r="P142" s="338"/>
      <c r="Q142" s="338"/>
      <c r="R142" s="338"/>
      <c r="S142" s="338"/>
    </row>
    <row r="143" spans="1:19">
      <c r="A143" s="333"/>
      <c r="B143" s="338"/>
      <c r="C143" s="338"/>
      <c r="D143" s="338"/>
      <c r="E143" s="338"/>
      <c r="F143" s="338"/>
      <c r="G143" s="338"/>
      <c r="H143" s="338"/>
      <c r="K143" s="333"/>
      <c r="L143" s="333"/>
      <c r="M143" s="338"/>
      <c r="N143" s="338"/>
      <c r="O143" s="338"/>
      <c r="P143" s="338"/>
      <c r="Q143" s="338"/>
      <c r="R143" s="338"/>
      <c r="S143" s="338"/>
    </row>
    <row r="144" spans="1:19">
      <c r="A144" s="333"/>
      <c r="B144" s="338"/>
      <c r="C144" s="338"/>
      <c r="D144" s="338"/>
      <c r="E144" s="338"/>
      <c r="F144" s="338"/>
      <c r="G144" s="338"/>
      <c r="H144" s="338"/>
      <c r="K144" s="333"/>
      <c r="L144" s="333"/>
      <c r="M144" s="338"/>
      <c r="N144" s="338"/>
      <c r="O144" s="338"/>
      <c r="P144" s="338"/>
      <c r="Q144" s="338"/>
      <c r="R144" s="338"/>
      <c r="S144" s="338"/>
    </row>
    <row r="145" spans="1:19">
      <c r="A145" s="333"/>
      <c r="B145" s="338"/>
      <c r="C145" s="338"/>
      <c r="D145" s="338"/>
      <c r="E145" s="338"/>
      <c r="F145" s="338"/>
      <c r="G145" s="338"/>
      <c r="H145" s="338"/>
      <c r="K145" s="333"/>
      <c r="L145" s="333"/>
      <c r="M145" s="338"/>
      <c r="N145" s="338"/>
      <c r="O145" s="338"/>
      <c r="P145" s="338"/>
      <c r="Q145" s="338"/>
      <c r="R145" s="338"/>
      <c r="S145" s="338"/>
    </row>
    <row r="146" spans="1:19">
      <c r="A146" s="333"/>
      <c r="B146" s="338"/>
      <c r="C146" s="338"/>
      <c r="D146" s="338"/>
      <c r="E146" s="338"/>
      <c r="F146" s="338"/>
      <c r="G146" s="338"/>
      <c r="H146" s="338"/>
      <c r="K146" s="333"/>
      <c r="L146" s="333"/>
      <c r="M146" s="338"/>
      <c r="N146" s="338"/>
      <c r="O146" s="338"/>
      <c r="P146" s="338"/>
      <c r="Q146" s="338"/>
      <c r="R146" s="338"/>
      <c r="S146" s="338"/>
    </row>
    <row r="147" spans="1:19" ht="18.75">
      <c r="A147" s="792" t="s">
        <v>441</v>
      </c>
      <c r="B147" s="792"/>
      <c r="C147" s="792"/>
      <c r="D147" s="792"/>
      <c r="E147" s="792"/>
      <c r="F147" s="792"/>
      <c r="G147" s="792"/>
      <c r="H147" s="792"/>
      <c r="K147" s="362" t="s">
        <v>442</v>
      </c>
      <c r="L147" s="362"/>
      <c r="M147" s="362"/>
      <c r="N147" s="362"/>
      <c r="O147" s="362"/>
      <c r="P147" s="362"/>
      <c r="Q147" s="362"/>
      <c r="R147" s="362"/>
      <c r="S147" s="362"/>
    </row>
    <row r="148" spans="1:19" ht="18.75">
      <c r="A148" s="339" t="s">
        <v>475</v>
      </c>
      <c r="K148" s="339" t="s">
        <v>418</v>
      </c>
      <c r="L148" s="339"/>
    </row>
    <row r="149" spans="1:19" ht="18.75">
      <c r="A149" s="339"/>
      <c r="K149" s="339"/>
      <c r="L149" s="339"/>
    </row>
    <row r="150" spans="1:19" ht="18.75">
      <c r="A150" s="339"/>
      <c r="K150" s="339"/>
      <c r="L150" s="339"/>
    </row>
    <row r="151" spans="1:19" ht="18.75">
      <c r="A151" s="339"/>
      <c r="K151" s="339"/>
      <c r="L151" s="339"/>
    </row>
    <row r="152" spans="1:19" ht="18.75">
      <c r="A152" s="339"/>
      <c r="K152" s="339"/>
      <c r="L152" s="339"/>
    </row>
    <row r="153" spans="1:19" ht="18.75">
      <c r="A153" s="339"/>
      <c r="K153" s="339"/>
      <c r="L153" s="339"/>
    </row>
    <row r="154" spans="1:19" ht="18.75">
      <c r="A154" s="339"/>
      <c r="K154" s="339"/>
      <c r="L154" s="339"/>
    </row>
    <row r="155" spans="1:19" ht="18.75">
      <c r="A155" s="339"/>
      <c r="K155" s="339"/>
      <c r="L155" s="339"/>
    </row>
    <row r="156" spans="1:19" ht="18.75">
      <c r="A156" s="339"/>
      <c r="K156" s="339"/>
      <c r="L156" s="339"/>
    </row>
    <row r="157" spans="1:19" ht="18.75">
      <c r="A157" s="339"/>
      <c r="K157" s="339"/>
      <c r="L157" s="339"/>
    </row>
    <row r="158" spans="1:19" ht="18.75">
      <c r="A158" s="339"/>
      <c r="K158" s="339"/>
      <c r="L158" s="339"/>
    </row>
    <row r="159" spans="1:19" ht="18.75">
      <c r="A159" s="339"/>
      <c r="K159" s="339"/>
      <c r="L159" s="339"/>
    </row>
    <row r="160" spans="1:19" ht="18.75">
      <c r="A160" s="339"/>
      <c r="K160" s="339"/>
      <c r="L160" s="339"/>
    </row>
    <row r="161" spans="1:19" ht="18.75">
      <c r="A161" s="339"/>
      <c r="K161" s="339"/>
      <c r="L161" s="339"/>
    </row>
    <row r="162" spans="1:19" ht="18.75">
      <c r="A162" s="339"/>
      <c r="K162" s="339"/>
      <c r="L162" s="339"/>
    </row>
    <row r="163" spans="1:19" ht="18.75">
      <c r="A163" s="339"/>
      <c r="K163" s="339"/>
      <c r="L163" s="339"/>
    </row>
    <row r="164" spans="1:19" ht="18.75">
      <c r="A164" s="339"/>
      <c r="K164" s="339"/>
      <c r="L164" s="339"/>
    </row>
    <row r="165" spans="1:19" ht="18.75">
      <c r="A165" s="339"/>
      <c r="K165" s="339"/>
      <c r="L165" s="339"/>
    </row>
    <row r="166" spans="1:19" ht="18.75">
      <c r="A166" s="339"/>
      <c r="K166" s="339"/>
      <c r="L166" s="339"/>
    </row>
    <row r="167" spans="1:19" ht="18.75">
      <c r="A167" s="339"/>
      <c r="K167" s="339"/>
      <c r="L167" s="339"/>
    </row>
    <row r="168" spans="1:19" ht="18.75">
      <c r="A168" s="339"/>
      <c r="K168" s="339"/>
      <c r="L168" s="339"/>
    </row>
    <row r="169" spans="1:19" ht="18.75">
      <c r="A169" s="339"/>
      <c r="K169" s="339"/>
      <c r="L169" s="339"/>
    </row>
    <row r="170" spans="1:19" ht="18.75">
      <c r="A170" s="339"/>
      <c r="K170" s="339"/>
      <c r="L170" s="339"/>
    </row>
    <row r="171" spans="1:19" ht="21">
      <c r="A171" s="334" t="s">
        <v>393</v>
      </c>
      <c r="K171" s="334" t="s">
        <v>450</v>
      </c>
      <c r="L171" s="334"/>
    </row>
    <row r="172" spans="1:19" ht="15" customHeight="1">
      <c r="A172" s="3" t="s">
        <v>386</v>
      </c>
      <c r="B172" s="664" t="s">
        <v>387</v>
      </c>
      <c r="C172" s="666"/>
      <c r="D172" s="664" t="s">
        <v>394</v>
      </c>
      <c r="E172" s="665"/>
      <c r="F172" s="665"/>
      <c r="G172" s="665"/>
      <c r="H172" s="666"/>
      <c r="K172" s="3" t="s">
        <v>2</v>
      </c>
      <c r="L172" s="356" t="s">
        <v>581</v>
      </c>
      <c r="M172" s="793" t="s">
        <v>423</v>
      </c>
      <c r="N172" s="793"/>
      <c r="O172" s="664" t="s">
        <v>421</v>
      </c>
      <c r="P172" s="665"/>
      <c r="Q172" s="665"/>
      <c r="R172" s="665"/>
      <c r="S172" s="666"/>
    </row>
    <row r="173" spans="1:19" ht="30.75" customHeight="1">
      <c r="A173" s="7"/>
      <c r="B173" s="41" t="s">
        <v>384</v>
      </c>
      <c r="C173" s="41" t="s">
        <v>385</v>
      </c>
      <c r="D173" s="87">
        <v>0.6</v>
      </c>
      <c r="E173" s="87">
        <v>0.7</v>
      </c>
      <c r="F173" s="87">
        <v>0.8</v>
      </c>
      <c r="G173" s="87">
        <v>0.9</v>
      </c>
      <c r="H173" s="87">
        <v>1</v>
      </c>
      <c r="K173" s="7"/>
      <c r="L173" s="354" t="s">
        <v>580</v>
      </c>
      <c r="M173" s="41" t="s">
        <v>384</v>
      </c>
      <c r="N173" s="41" t="s">
        <v>385</v>
      </c>
      <c r="O173" s="87">
        <v>0.6</v>
      </c>
      <c r="P173" s="87">
        <v>0.7</v>
      </c>
      <c r="Q173" s="87">
        <v>0.8</v>
      </c>
      <c r="R173" s="87">
        <v>0.9</v>
      </c>
      <c r="S173" s="87">
        <v>1</v>
      </c>
    </row>
    <row r="174" spans="1:19" ht="45">
      <c r="A174" s="224" t="s">
        <v>567</v>
      </c>
      <c r="B174" s="279">
        <f>'RICON-S-VS'!C90</f>
        <v>60</v>
      </c>
      <c r="C174" s="279">
        <f>'RICON-S-VS'!F90</f>
        <v>37.092120892934879</v>
      </c>
      <c r="D174" s="279">
        <f>MIN($B174/1,$C174*D$173/1.3)</f>
        <v>17.11944041212379</v>
      </c>
      <c r="E174" s="279">
        <f t="shared" ref="E174:H183" si="17">MIN($B174/1,$C174*E$173/1.3)</f>
        <v>19.972680480811086</v>
      </c>
      <c r="F174" s="279">
        <f t="shared" si="17"/>
        <v>22.825920549498388</v>
      </c>
      <c r="G174" s="279">
        <f t="shared" si="17"/>
        <v>25.679160618185687</v>
      </c>
      <c r="H174" s="279">
        <f t="shared" si="17"/>
        <v>28.532400686872982</v>
      </c>
      <c r="K174" s="224" t="s">
        <v>606</v>
      </c>
      <c r="L174" s="352" t="s">
        <v>456</v>
      </c>
      <c r="M174" s="279">
        <f>'RICON-S-VS'!C90</f>
        <v>60</v>
      </c>
      <c r="N174" s="279">
        <f>'RICON-S-VS'!F90</f>
        <v>37.092120892934879</v>
      </c>
      <c r="O174" s="279">
        <f t="shared" ref="O174:S183" si="18">MIN($B174/1,$C174*O$173/1.3)</f>
        <v>17.11944041212379</v>
      </c>
      <c r="P174" s="279">
        <f t="shared" si="18"/>
        <v>19.972680480811086</v>
      </c>
      <c r="Q174" s="279">
        <f t="shared" si="18"/>
        <v>22.825920549498388</v>
      </c>
      <c r="R174" s="279">
        <f t="shared" si="18"/>
        <v>25.679160618185687</v>
      </c>
      <c r="S174" s="279">
        <f t="shared" si="18"/>
        <v>28.532400686872982</v>
      </c>
    </row>
    <row r="175" spans="1:19" ht="45">
      <c r="A175" s="224" t="s">
        <v>568</v>
      </c>
      <c r="B175" s="279">
        <f>'RICON-S-VS'!C91</f>
        <v>60</v>
      </c>
      <c r="C175" s="279">
        <f>'RICON-S-VS'!F91</f>
        <v>40.18125965399701</v>
      </c>
      <c r="D175" s="279">
        <f t="shared" ref="D175:D183" si="19">MIN($B175/1,$C175*D$173/1.3)</f>
        <v>18.545196763383235</v>
      </c>
      <c r="E175" s="279">
        <f t="shared" si="17"/>
        <v>21.636062890613772</v>
      </c>
      <c r="F175" s="279">
        <f t="shared" si="17"/>
        <v>24.726929017844313</v>
      </c>
      <c r="G175" s="279">
        <f t="shared" si="17"/>
        <v>27.817795145074854</v>
      </c>
      <c r="H175" s="279">
        <f t="shared" si="17"/>
        <v>30.908661272305391</v>
      </c>
      <c r="K175" s="224" t="s">
        <v>605</v>
      </c>
      <c r="L175" s="352" t="s">
        <v>458</v>
      </c>
      <c r="M175" s="279">
        <f>'RICON-S-VS'!C91</f>
        <v>60</v>
      </c>
      <c r="N175" s="279">
        <f>'RICON-S-VS'!F91</f>
        <v>40.18125965399701</v>
      </c>
      <c r="O175" s="279">
        <f t="shared" si="18"/>
        <v>18.545196763383235</v>
      </c>
      <c r="P175" s="279">
        <f t="shared" si="18"/>
        <v>21.636062890613772</v>
      </c>
      <c r="Q175" s="279">
        <f t="shared" si="18"/>
        <v>24.726929017844313</v>
      </c>
      <c r="R175" s="279">
        <f t="shared" si="18"/>
        <v>27.817795145074854</v>
      </c>
      <c r="S175" s="279">
        <f t="shared" si="18"/>
        <v>30.908661272305391</v>
      </c>
    </row>
    <row r="176" spans="1:19" ht="45">
      <c r="A176" s="224" t="s">
        <v>569</v>
      </c>
      <c r="B176" s="279">
        <f>'RICON-S-VS'!C93</f>
        <v>60</v>
      </c>
      <c r="C176" s="279">
        <f>'RICON-S-VS'!F93</f>
        <v>56.622579600426967</v>
      </c>
      <c r="D176" s="279">
        <f t="shared" si="19"/>
        <v>26.13349827712014</v>
      </c>
      <c r="E176" s="279">
        <f t="shared" si="17"/>
        <v>30.489081323306827</v>
      </c>
      <c r="F176" s="279">
        <f t="shared" si="17"/>
        <v>34.844664369493522</v>
      </c>
      <c r="G176" s="279">
        <f t="shared" si="17"/>
        <v>39.200247415680209</v>
      </c>
      <c r="H176" s="279">
        <f t="shared" si="17"/>
        <v>43.555830461866897</v>
      </c>
      <c r="K176" s="224" t="s">
        <v>604</v>
      </c>
      <c r="L176" s="352" t="s">
        <v>457</v>
      </c>
      <c r="M176" s="279">
        <f>'RICON-S-VS'!C93</f>
        <v>60</v>
      </c>
      <c r="N176" s="279">
        <f>'RICON-S-VS'!F93</f>
        <v>56.622579600426967</v>
      </c>
      <c r="O176" s="279">
        <f t="shared" si="18"/>
        <v>26.13349827712014</v>
      </c>
      <c r="P176" s="279">
        <f t="shared" si="18"/>
        <v>30.489081323306827</v>
      </c>
      <c r="Q176" s="279">
        <f t="shared" si="18"/>
        <v>34.844664369493522</v>
      </c>
      <c r="R176" s="279">
        <f t="shared" si="18"/>
        <v>39.200247415680209</v>
      </c>
      <c r="S176" s="279">
        <f t="shared" si="18"/>
        <v>43.555830461866897</v>
      </c>
    </row>
    <row r="177" spans="1:19" ht="45">
      <c r="A177" s="224" t="s">
        <v>570</v>
      </c>
      <c r="B177" s="279">
        <f>'RICON-S-VS'!C94</f>
        <v>60</v>
      </c>
      <c r="C177" s="279">
        <f>'RICON-S-VS'!F94</f>
        <v>66.480609906200655</v>
      </c>
      <c r="D177" s="279">
        <f t="shared" si="19"/>
        <v>30.683358418246456</v>
      </c>
      <c r="E177" s="279">
        <f t="shared" si="17"/>
        <v>35.797251487954192</v>
      </c>
      <c r="F177" s="279">
        <f t="shared" si="17"/>
        <v>40.911144557661942</v>
      </c>
      <c r="G177" s="279">
        <f t="shared" si="17"/>
        <v>46.025037627369684</v>
      </c>
      <c r="H177" s="279">
        <f t="shared" si="17"/>
        <v>51.138930697077427</v>
      </c>
      <c r="K177" s="224" t="s">
        <v>603</v>
      </c>
      <c r="L177" s="352" t="s">
        <v>468</v>
      </c>
      <c r="M177" s="279">
        <f>'RICON-S-VS'!C94</f>
        <v>60</v>
      </c>
      <c r="N177" s="279">
        <f>'RICON-S-VS'!F94</f>
        <v>66.480609906200655</v>
      </c>
      <c r="O177" s="279">
        <f t="shared" si="18"/>
        <v>30.683358418246456</v>
      </c>
      <c r="P177" s="279">
        <f t="shared" si="18"/>
        <v>35.797251487954192</v>
      </c>
      <c r="Q177" s="279">
        <f t="shared" si="18"/>
        <v>40.911144557661942</v>
      </c>
      <c r="R177" s="279">
        <f t="shared" si="18"/>
        <v>46.025037627369684</v>
      </c>
      <c r="S177" s="279">
        <f t="shared" si="18"/>
        <v>51.138930697077427</v>
      </c>
    </row>
    <row r="178" spans="1:19" ht="45">
      <c r="A178" s="224" t="s">
        <v>571</v>
      </c>
      <c r="B178" s="279">
        <f>'RICON-S-VS'!C96</f>
        <v>99</v>
      </c>
      <c r="C178" s="279">
        <f>'RICON-S-VS'!F96</f>
        <v>78.998593590946925</v>
      </c>
      <c r="D178" s="279">
        <f t="shared" si="19"/>
        <v>36.460889349667809</v>
      </c>
      <c r="E178" s="279">
        <f t="shared" si="17"/>
        <v>42.537704241279108</v>
      </c>
      <c r="F178" s="279">
        <f t="shared" si="17"/>
        <v>48.614519132890415</v>
      </c>
      <c r="G178" s="279">
        <f t="shared" si="17"/>
        <v>54.691334024501714</v>
      </c>
      <c r="H178" s="279">
        <f t="shared" si="17"/>
        <v>60.76814891611302</v>
      </c>
      <c r="K178" s="224" t="s">
        <v>602</v>
      </c>
      <c r="L178" s="352" t="s">
        <v>466</v>
      </c>
      <c r="M178" s="279">
        <f>'RICON-S-VS'!C96</f>
        <v>99</v>
      </c>
      <c r="N178" s="279">
        <f>'RICON-S-VS'!F96</f>
        <v>78.998593590946925</v>
      </c>
      <c r="O178" s="279">
        <f t="shared" si="18"/>
        <v>36.460889349667809</v>
      </c>
      <c r="P178" s="279">
        <f t="shared" si="18"/>
        <v>42.537704241279108</v>
      </c>
      <c r="Q178" s="279">
        <f t="shared" si="18"/>
        <v>48.614519132890415</v>
      </c>
      <c r="R178" s="279">
        <f t="shared" si="18"/>
        <v>54.691334024501714</v>
      </c>
      <c r="S178" s="279">
        <f t="shared" si="18"/>
        <v>60.76814891611302</v>
      </c>
    </row>
    <row r="179" spans="1:19" ht="45">
      <c r="A179" s="224" t="s">
        <v>572</v>
      </c>
      <c r="B179" s="279">
        <f>'RICON-S-VS'!C97</f>
        <v>99</v>
      </c>
      <c r="C179" s="279">
        <f>'RICON-S-VS'!F97</f>
        <v>92.415567140008505</v>
      </c>
      <c r="D179" s="279">
        <f t="shared" si="19"/>
        <v>42.653338680003927</v>
      </c>
      <c r="E179" s="279">
        <f t="shared" si="17"/>
        <v>49.762228460004579</v>
      </c>
      <c r="F179" s="279">
        <f t="shared" si="17"/>
        <v>56.871118240005231</v>
      </c>
      <c r="G179" s="279">
        <f t="shared" si="17"/>
        <v>63.980008020005883</v>
      </c>
      <c r="H179" s="279">
        <f t="shared" si="17"/>
        <v>71.088897800006535</v>
      </c>
      <c r="K179" s="224" t="s">
        <v>601</v>
      </c>
      <c r="L179" s="352" t="s">
        <v>469</v>
      </c>
      <c r="M179" s="279">
        <f>'RICON-S-VS'!C97</f>
        <v>99</v>
      </c>
      <c r="N179" s="279">
        <f>'RICON-S-VS'!F97</f>
        <v>92.415567140008505</v>
      </c>
      <c r="O179" s="279">
        <f t="shared" si="18"/>
        <v>42.653338680003927</v>
      </c>
      <c r="P179" s="279">
        <f t="shared" si="18"/>
        <v>49.762228460004579</v>
      </c>
      <c r="Q179" s="279">
        <f t="shared" si="18"/>
        <v>56.871118240005231</v>
      </c>
      <c r="R179" s="279">
        <f t="shared" si="18"/>
        <v>63.980008020005883</v>
      </c>
      <c r="S179" s="279">
        <f t="shared" si="18"/>
        <v>71.088897800006535</v>
      </c>
    </row>
    <row r="180" spans="1:19" ht="45">
      <c r="A180" s="224" t="s">
        <v>573</v>
      </c>
      <c r="B180" s="279">
        <f>'RICON-S-VS'!C99</f>
        <v>99</v>
      </c>
      <c r="C180" s="279">
        <f>'RICON-S-VS'!F99</f>
        <v>118.04766009468641</v>
      </c>
      <c r="D180" s="279">
        <f t="shared" si="19"/>
        <v>54.483535428316806</v>
      </c>
      <c r="E180" s="279">
        <f t="shared" si="17"/>
        <v>63.564124666369601</v>
      </c>
      <c r="F180" s="279">
        <f t="shared" si="17"/>
        <v>72.644713904422403</v>
      </c>
      <c r="G180" s="279">
        <f t="shared" si="17"/>
        <v>81.725303142475198</v>
      </c>
      <c r="H180" s="279">
        <f t="shared" si="17"/>
        <v>90.805892380528007</v>
      </c>
      <c r="K180" s="224" t="s">
        <v>600</v>
      </c>
      <c r="L180" s="352" t="s">
        <v>467</v>
      </c>
      <c r="M180" s="279">
        <f>'RICON-S-VS'!C99</f>
        <v>99</v>
      </c>
      <c r="N180" s="279">
        <f>'RICON-S-VS'!F99</f>
        <v>118.04766009468641</v>
      </c>
      <c r="O180" s="279">
        <f t="shared" si="18"/>
        <v>54.483535428316806</v>
      </c>
      <c r="P180" s="279">
        <f t="shared" si="18"/>
        <v>63.564124666369601</v>
      </c>
      <c r="Q180" s="279">
        <f t="shared" si="18"/>
        <v>72.644713904422403</v>
      </c>
      <c r="R180" s="279">
        <f t="shared" si="18"/>
        <v>81.725303142475198</v>
      </c>
      <c r="S180" s="279">
        <f t="shared" si="18"/>
        <v>90.805892380528007</v>
      </c>
    </row>
    <row r="181" spans="1:19" ht="45">
      <c r="A181" s="224" t="s">
        <v>574</v>
      </c>
      <c r="B181" s="279">
        <f>'RICON-S-VS'!C100</f>
        <v>99</v>
      </c>
      <c r="C181" s="279">
        <f>'RICON-S-VS'!F100</f>
        <v>142.69127424794846</v>
      </c>
      <c r="D181" s="279">
        <f t="shared" si="19"/>
        <v>65.857511191360828</v>
      </c>
      <c r="E181" s="279">
        <f t="shared" si="17"/>
        <v>76.833763056587628</v>
      </c>
      <c r="F181" s="279">
        <f t="shared" si="17"/>
        <v>87.810014921814428</v>
      </c>
      <c r="G181" s="279">
        <f t="shared" si="17"/>
        <v>98.786266787041242</v>
      </c>
      <c r="H181" s="279">
        <f t="shared" si="17"/>
        <v>99</v>
      </c>
      <c r="K181" s="224" t="s">
        <v>599</v>
      </c>
      <c r="L181" s="352" t="s">
        <v>470</v>
      </c>
      <c r="M181" s="279">
        <f>'RICON-S-VS'!C100</f>
        <v>99</v>
      </c>
      <c r="N181" s="279">
        <f>'RICON-S-VS'!F100</f>
        <v>142.69127424794846</v>
      </c>
      <c r="O181" s="279">
        <f t="shared" si="18"/>
        <v>65.857511191360828</v>
      </c>
      <c r="P181" s="279">
        <f t="shared" si="18"/>
        <v>76.833763056587628</v>
      </c>
      <c r="Q181" s="279">
        <f t="shared" si="18"/>
        <v>87.810014921814428</v>
      </c>
      <c r="R181" s="279">
        <f t="shared" si="18"/>
        <v>98.786266787041242</v>
      </c>
      <c r="S181" s="279">
        <f t="shared" si="18"/>
        <v>99</v>
      </c>
    </row>
    <row r="182" spans="1:19" ht="75">
      <c r="A182" s="224" t="s">
        <v>575</v>
      </c>
      <c r="B182" s="279">
        <f>'RICON-S-VS'!C102</f>
        <v>180</v>
      </c>
      <c r="C182" s="279">
        <f>'RICON-S-VS'!F102</f>
        <v>170.55707715016831</v>
      </c>
      <c r="D182" s="279">
        <f t="shared" si="19"/>
        <v>78.718650992385363</v>
      </c>
      <c r="E182" s="279">
        <f t="shared" si="17"/>
        <v>91.838426157782934</v>
      </c>
      <c r="F182" s="279">
        <f t="shared" si="17"/>
        <v>104.9582013231805</v>
      </c>
      <c r="G182" s="279">
        <f t="shared" si="17"/>
        <v>118.07797648857806</v>
      </c>
      <c r="H182" s="279">
        <f t="shared" si="17"/>
        <v>131.19775165397562</v>
      </c>
      <c r="K182" s="224" t="s">
        <v>576</v>
      </c>
      <c r="L182" s="352" t="s">
        <v>589</v>
      </c>
      <c r="M182" s="279">
        <f>'RICON-S-VS'!C102</f>
        <v>180</v>
      </c>
      <c r="N182" s="279">
        <f>'RICON-S-VS'!F102</f>
        <v>170.55707715016831</v>
      </c>
      <c r="O182" s="279">
        <f t="shared" si="18"/>
        <v>78.718650992385363</v>
      </c>
      <c r="P182" s="279">
        <f t="shared" si="18"/>
        <v>91.838426157782934</v>
      </c>
      <c r="Q182" s="279">
        <f t="shared" si="18"/>
        <v>104.9582013231805</v>
      </c>
      <c r="R182" s="279">
        <f t="shared" si="18"/>
        <v>118.07797648857806</v>
      </c>
      <c r="S182" s="279">
        <f t="shared" si="18"/>
        <v>131.19775165397562</v>
      </c>
    </row>
    <row r="183" spans="1:19" ht="75">
      <c r="A183" s="224" t="s">
        <v>577</v>
      </c>
      <c r="B183" s="279">
        <f>'RICON-S-VS'!C103</f>
        <v>180</v>
      </c>
      <c r="C183" s="279">
        <f>'RICON-S-VS'!F103</f>
        <v>195.31191951462577</v>
      </c>
      <c r="D183" s="279">
        <f t="shared" si="19"/>
        <v>90.143962852904195</v>
      </c>
      <c r="E183" s="279">
        <f t="shared" si="17"/>
        <v>105.16795666172155</v>
      </c>
      <c r="F183" s="279">
        <f t="shared" si="17"/>
        <v>120.19195047053894</v>
      </c>
      <c r="G183" s="279">
        <f t="shared" si="17"/>
        <v>135.21594427935631</v>
      </c>
      <c r="H183" s="279">
        <f t="shared" si="17"/>
        <v>150.23993808817366</v>
      </c>
      <c r="K183" s="224" t="s">
        <v>578</v>
      </c>
      <c r="L183" s="352" t="s">
        <v>588</v>
      </c>
      <c r="M183" s="279">
        <f>'RICON-S-VS'!C103</f>
        <v>180</v>
      </c>
      <c r="N183" s="279">
        <f>'RICON-S-VS'!F103</f>
        <v>195.31191951462577</v>
      </c>
      <c r="O183" s="279">
        <f t="shared" si="18"/>
        <v>90.143962852904195</v>
      </c>
      <c r="P183" s="279">
        <f t="shared" si="18"/>
        <v>105.16795666172155</v>
      </c>
      <c r="Q183" s="279">
        <f t="shared" si="18"/>
        <v>120.19195047053894</v>
      </c>
      <c r="R183" s="279">
        <f t="shared" si="18"/>
        <v>135.21594427935631</v>
      </c>
      <c r="S183" s="279">
        <f t="shared" si="18"/>
        <v>150.23993808817366</v>
      </c>
    </row>
    <row r="196" spans="1:19" ht="21">
      <c r="A196" s="337" t="s">
        <v>410</v>
      </c>
      <c r="K196" s="337" t="s">
        <v>432</v>
      </c>
      <c r="L196" s="337"/>
    </row>
    <row r="198" spans="1:19" ht="18.75">
      <c r="A198" s="792" t="s">
        <v>444</v>
      </c>
      <c r="B198" s="792"/>
      <c r="C198" s="792"/>
      <c r="D198" s="792"/>
      <c r="E198" s="792"/>
      <c r="F198" s="792"/>
      <c r="G198" s="792"/>
      <c r="H198" s="792"/>
      <c r="K198" s="792" t="s">
        <v>443</v>
      </c>
      <c r="L198" s="792"/>
      <c r="M198" s="792"/>
      <c r="N198" s="792"/>
      <c r="O198" s="792"/>
      <c r="P198" s="792"/>
      <c r="Q198" s="792"/>
      <c r="R198" s="792"/>
      <c r="S198" s="792"/>
    </row>
    <row r="199" spans="1:19" ht="18.75">
      <c r="A199" s="339" t="s">
        <v>579</v>
      </c>
      <c r="K199" s="339" t="s">
        <v>425</v>
      </c>
      <c r="L199" s="339"/>
    </row>
    <row r="200" spans="1:19" ht="18.75">
      <c r="A200" s="339"/>
      <c r="K200" s="339"/>
      <c r="L200" s="339"/>
    </row>
    <row r="201" spans="1:19" ht="18.75">
      <c r="A201" s="339"/>
      <c r="K201" s="339"/>
      <c r="L201" s="339"/>
    </row>
    <row r="202" spans="1:19" ht="18.75">
      <c r="A202" s="339"/>
      <c r="K202" s="339"/>
      <c r="L202" s="339"/>
    </row>
    <row r="203" spans="1:19" ht="18.75">
      <c r="A203" s="339"/>
      <c r="K203" s="339"/>
      <c r="L203" s="339"/>
    </row>
    <row r="204" spans="1:19" ht="18.75">
      <c r="A204" s="339"/>
      <c r="K204" s="339"/>
      <c r="L204" s="339"/>
    </row>
    <row r="205" spans="1:19" ht="18.75">
      <c r="A205" s="339"/>
      <c r="K205" s="339"/>
      <c r="L205" s="339"/>
    </row>
    <row r="206" spans="1:19" ht="18.75">
      <c r="A206" s="339"/>
      <c r="K206" s="339"/>
      <c r="L206" s="339"/>
    </row>
    <row r="207" spans="1:19" ht="18.75">
      <c r="A207" s="339"/>
      <c r="K207" s="339"/>
      <c r="L207" s="339"/>
    </row>
    <row r="208" spans="1:19" ht="18.75">
      <c r="A208" s="339"/>
      <c r="K208" s="339"/>
      <c r="L208" s="339"/>
    </row>
    <row r="209" spans="1:20" ht="18.75">
      <c r="A209" s="339"/>
      <c r="K209" s="339"/>
      <c r="L209" s="339"/>
    </row>
    <row r="210" spans="1:20" ht="18.75">
      <c r="A210" s="339"/>
      <c r="K210" s="339"/>
      <c r="L210" s="339"/>
    </row>
    <row r="211" spans="1:20" ht="21">
      <c r="A211" s="337" t="s">
        <v>383</v>
      </c>
      <c r="K211" s="337" t="s">
        <v>447</v>
      </c>
      <c r="L211" s="337"/>
    </row>
    <row r="212" spans="1:20" ht="30" customHeight="1">
      <c r="A212" s="3" t="s">
        <v>386</v>
      </c>
      <c r="B212" s="664" t="s">
        <v>387</v>
      </c>
      <c r="C212" s="666"/>
      <c r="D212" s="664" t="s">
        <v>394</v>
      </c>
      <c r="E212" s="665"/>
      <c r="F212" s="665"/>
      <c r="G212" s="173"/>
      <c r="H212" s="664" t="s">
        <v>416</v>
      </c>
      <c r="I212" s="666"/>
      <c r="J212" s="56"/>
      <c r="K212" s="3" t="s">
        <v>2</v>
      </c>
      <c r="L212" s="801" t="s">
        <v>582</v>
      </c>
      <c r="M212" s="793" t="s">
        <v>423</v>
      </c>
      <c r="N212" s="793"/>
      <c r="O212" s="664" t="s">
        <v>421</v>
      </c>
      <c r="P212" s="665"/>
      <c r="Q212" s="665"/>
      <c r="R212" s="173"/>
      <c r="S212" s="706" t="s">
        <v>426</v>
      </c>
      <c r="T212" s="707"/>
    </row>
    <row r="213" spans="1:20" ht="15" customHeight="1">
      <c r="A213" s="341"/>
      <c r="B213" s="161" t="s">
        <v>412</v>
      </c>
      <c r="C213" s="161" t="s">
        <v>413</v>
      </c>
      <c r="D213" s="664" t="s">
        <v>412</v>
      </c>
      <c r="E213" s="666"/>
      <c r="F213" s="664" t="s">
        <v>413</v>
      </c>
      <c r="G213" s="666"/>
      <c r="H213" s="806" t="s">
        <v>414</v>
      </c>
      <c r="I213" s="806" t="s">
        <v>415</v>
      </c>
      <c r="J213" s="342"/>
      <c r="K213" s="341"/>
      <c r="L213" s="802"/>
      <c r="M213" s="161" t="s">
        <v>429</v>
      </c>
      <c r="N213" s="161" t="s">
        <v>430</v>
      </c>
      <c r="O213" s="720" t="s">
        <v>429</v>
      </c>
      <c r="P213" s="720"/>
      <c r="Q213" s="665" t="s">
        <v>430</v>
      </c>
      <c r="R213" s="666"/>
      <c r="S213" s="817" t="s">
        <v>427</v>
      </c>
      <c r="T213" s="817" t="s">
        <v>428</v>
      </c>
    </row>
    <row r="214" spans="1:20">
      <c r="A214" s="7"/>
      <c r="B214" s="41" t="s">
        <v>411</v>
      </c>
      <c r="C214" s="41" t="s">
        <v>411</v>
      </c>
      <c r="D214" s="87">
        <v>0.6</v>
      </c>
      <c r="E214" s="87">
        <v>0.9</v>
      </c>
      <c r="F214" s="87">
        <v>0.6</v>
      </c>
      <c r="G214" s="87">
        <v>0.9</v>
      </c>
      <c r="H214" s="807"/>
      <c r="I214" s="807"/>
      <c r="J214" s="342"/>
      <c r="K214" s="7"/>
      <c r="L214" s="803"/>
      <c r="M214" s="41" t="s">
        <v>431</v>
      </c>
      <c r="N214" s="41" t="s">
        <v>431</v>
      </c>
      <c r="O214" s="87">
        <v>0.6</v>
      </c>
      <c r="P214" s="87">
        <v>0.9</v>
      </c>
      <c r="Q214" s="87">
        <v>0.6</v>
      </c>
      <c r="R214" s="87">
        <v>0.9</v>
      </c>
      <c r="S214" s="817"/>
      <c r="T214" s="817"/>
    </row>
    <row r="215" spans="1:20" ht="45">
      <c r="A215" s="62" t="s">
        <v>476</v>
      </c>
      <c r="B215" s="279">
        <f>'RICON_RICON-S-EK_GIGANT_WALCO '!H763</f>
        <v>0.68556196386955359</v>
      </c>
      <c r="C215" s="279">
        <f>'RICON_RICON-S-EK_GIGANT_WALCO '!I763</f>
        <v>4.6855619638695538</v>
      </c>
      <c r="D215" s="279">
        <f>$B215*D$214/1.3</f>
        <v>0.31641321409364009</v>
      </c>
      <c r="E215" s="279">
        <f>$B215*E$214/1.3</f>
        <v>0.4746198211404602</v>
      </c>
      <c r="F215" s="279">
        <f>$C215*F$214/1.3</f>
        <v>2.1625670602474862</v>
      </c>
      <c r="G215" s="279">
        <f>$C215*G$214/1.3</f>
        <v>3.2438505903712298</v>
      </c>
      <c r="H215" s="330">
        <f>D215*200/1.35</f>
        <v>46.876031717576311</v>
      </c>
      <c r="I215" s="330">
        <f t="shared" ref="I215:I227" si="20">F215*200/1.35</f>
        <v>320.38030522184977</v>
      </c>
      <c r="J215" s="343"/>
      <c r="K215" s="62" t="s">
        <v>477</v>
      </c>
      <c r="L215" s="350" t="s">
        <v>460</v>
      </c>
      <c r="M215" s="279">
        <f>'RICON_RICON-S-EK_GIGANT_WALCO '!H763</f>
        <v>0.68556196386955359</v>
      </c>
      <c r="N215" s="279">
        <f>'RICON_RICON-S-EK_GIGANT_WALCO '!I763</f>
        <v>4.6855619638695538</v>
      </c>
      <c r="O215" s="279">
        <f t="shared" ref="O215:P227" si="21">$B215*O$214/1.3</f>
        <v>0.31641321409364009</v>
      </c>
      <c r="P215" s="279">
        <f t="shared" si="21"/>
        <v>0.4746198211404602</v>
      </c>
      <c r="Q215" s="279">
        <f t="shared" ref="Q215:R227" si="22">$C215*Q$214/1.3</f>
        <v>2.1625670602474862</v>
      </c>
      <c r="R215" s="279">
        <f t="shared" si="22"/>
        <v>3.2438505903712298</v>
      </c>
      <c r="S215" s="330">
        <f>O215*200/1.35</f>
        <v>46.876031717576311</v>
      </c>
      <c r="T215" s="330">
        <f>Q215*200/1.35</f>
        <v>320.38030522184977</v>
      </c>
    </row>
    <row r="216" spans="1:20" ht="45">
      <c r="A216" s="62" t="s">
        <v>478</v>
      </c>
      <c r="B216" s="279">
        <f>'RICON_RICON-S-EK_GIGANT_WALCO '!H764</f>
        <v>0.93004458531057144</v>
      </c>
      <c r="C216" s="279">
        <f>'RICON_RICON-S-EK_GIGANT_WALCO '!I764</f>
        <v>4.9300445853105712</v>
      </c>
      <c r="D216" s="279">
        <f t="shared" ref="D216:E227" si="23">$B216*D$214/1.3</f>
        <v>0.42925134706641754</v>
      </c>
      <c r="E216" s="279">
        <f t="shared" si="23"/>
        <v>0.64387702059962637</v>
      </c>
      <c r="F216" s="279">
        <f t="shared" ref="F216:G227" si="24">$C216*F$214/1.3</f>
        <v>2.2754051932202635</v>
      </c>
      <c r="G216" s="279">
        <f t="shared" si="24"/>
        <v>3.4131077898303959</v>
      </c>
      <c r="H216" s="330">
        <f t="shared" ref="H216:H227" si="25">D216*200/1.35</f>
        <v>63.59279215798778</v>
      </c>
      <c r="I216" s="330">
        <f t="shared" si="20"/>
        <v>337.09706566226123</v>
      </c>
      <c r="J216" s="343"/>
      <c r="K216" s="62" t="s">
        <v>479</v>
      </c>
      <c r="L216" s="350" t="s">
        <v>461</v>
      </c>
      <c r="M216" s="279">
        <f>'RICON_RICON-S-EK_GIGANT_WALCO '!H764</f>
        <v>0.93004458531057144</v>
      </c>
      <c r="N216" s="279">
        <f>'RICON_RICON-S-EK_GIGANT_WALCO '!I764</f>
        <v>4.9300445853105712</v>
      </c>
      <c r="O216" s="279">
        <f t="shared" si="21"/>
        <v>0.42925134706641754</v>
      </c>
      <c r="P216" s="279">
        <f t="shared" si="21"/>
        <v>0.64387702059962637</v>
      </c>
      <c r="Q216" s="279">
        <f t="shared" si="22"/>
        <v>2.2754051932202635</v>
      </c>
      <c r="R216" s="279">
        <f t="shared" si="22"/>
        <v>3.4131077898303959</v>
      </c>
      <c r="S216" s="330">
        <f t="shared" ref="S216:S227" si="26">O216*200/1.35</f>
        <v>63.59279215798778</v>
      </c>
      <c r="T216" s="330">
        <f t="shared" ref="T216:T227" si="27">Q216*200/1.35</f>
        <v>337.09706566226123</v>
      </c>
    </row>
    <row r="217" spans="1:20" ht="45">
      <c r="A217" s="62" t="s">
        <v>480</v>
      </c>
      <c r="B217" s="279">
        <f>'RICON_RICON-S-EK_GIGANT_WALCO '!H765</f>
        <v>1.4937800644343464</v>
      </c>
      <c r="C217" s="279">
        <f>'RICON_RICON-S-EK_GIGANT_WALCO '!I765</f>
        <v>5.4937800644343469</v>
      </c>
      <c r="D217" s="279">
        <f t="shared" si="23"/>
        <v>0.68943695281585216</v>
      </c>
      <c r="E217" s="279">
        <f t="shared" si="23"/>
        <v>1.0341554292237782</v>
      </c>
      <c r="F217" s="279">
        <f t="shared" si="24"/>
        <v>2.5355907989696984</v>
      </c>
      <c r="G217" s="279">
        <f t="shared" si="24"/>
        <v>3.8033861984545481</v>
      </c>
      <c r="H217" s="330">
        <f t="shared" si="25"/>
        <v>102.13880782457069</v>
      </c>
      <c r="I217" s="330">
        <f t="shared" si="20"/>
        <v>375.64308132884418</v>
      </c>
      <c r="J217" s="343"/>
      <c r="K217" s="62" t="s">
        <v>481</v>
      </c>
      <c r="L217" s="350" t="s">
        <v>471</v>
      </c>
      <c r="M217" s="279">
        <f>'RICON_RICON-S-EK_GIGANT_WALCO '!H765</f>
        <v>1.4937800644343464</v>
      </c>
      <c r="N217" s="279">
        <f>'RICON_RICON-S-EK_GIGANT_WALCO '!I765</f>
        <v>5.4937800644343469</v>
      </c>
      <c r="O217" s="279">
        <f t="shared" si="21"/>
        <v>0.68943695281585216</v>
      </c>
      <c r="P217" s="279">
        <f t="shared" si="21"/>
        <v>1.0341554292237782</v>
      </c>
      <c r="Q217" s="279">
        <f t="shared" si="22"/>
        <v>2.5355907989696984</v>
      </c>
      <c r="R217" s="279">
        <f t="shared" si="22"/>
        <v>3.8033861984545481</v>
      </c>
      <c r="S217" s="330">
        <f t="shared" si="26"/>
        <v>102.13880782457069</v>
      </c>
      <c r="T217" s="330">
        <f t="shared" si="27"/>
        <v>375.64308132884418</v>
      </c>
    </row>
    <row r="218" spans="1:20" ht="45">
      <c r="A218" s="62" t="s">
        <v>482</v>
      </c>
      <c r="B218" s="279">
        <f>'RICON_RICON-S-EK_GIGANT_WALCO '!H766</f>
        <v>2.0699476121956257</v>
      </c>
      <c r="C218" s="279">
        <f>'RICON_RICON-S-EK_GIGANT_WALCO '!I766</f>
        <v>6.0699476121956257</v>
      </c>
      <c r="D218" s="279">
        <f t="shared" si="23"/>
        <v>0.95536043639798107</v>
      </c>
      <c r="E218" s="279">
        <f t="shared" si="23"/>
        <v>1.4330406545969716</v>
      </c>
      <c r="F218" s="279">
        <f t="shared" si="24"/>
        <v>2.8015142825518269</v>
      </c>
      <c r="G218" s="279">
        <f t="shared" si="24"/>
        <v>4.2022714238277405</v>
      </c>
      <c r="H218" s="330">
        <f t="shared" si="25"/>
        <v>141.53487946636756</v>
      </c>
      <c r="I218" s="330">
        <f t="shared" si="20"/>
        <v>415.039152970641</v>
      </c>
      <c r="J218" s="343"/>
      <c r="K218" s="62" t="s">
        <v>483</v>
      </c>
      <c r="L218" s="350" t="s">
        <v>472</v>
      </c>
      <c r="M218" s="279">
        <f>'RICON_RICON-S-EK_GIGANT_WALCO '!H766</f>
        <v>2.0699476121956257</v>
      </c>
      <c r="N218" s="279">
        <f>'RICON_RICON-S-EK_GIGANT_WALCO '!I766</f>
        <v>6.0699476121956257</v>
      </c>
      <c r="O218" s="279">
        <f t="shared" si="21"/>
        <v>0.95536043639798107</v>
      </c>
      <c r="P218" s="279">
        <f t="shared" si="21"/>
        <v>1.4330406545969716</v>
      </c>
      <c r="Q218" s="279">
        <f t="shared" si="22"/>
        <v>2.8015142825518269</v>
      </c>
      <c r="R218" s="279">
        <f t="shared" si="22"/>
        <v>4.2022714238277405</v>
      </c>
      <c r="S218" s="330">
        <f t="shared" si="26"/>
        <v>141.53487946636756</v>
      </c>
      <c r="T218" s="330">
        <f t="shared" si="27"/>
        <v>415.039152970641</v>
      </c>
    </row>
    <row r="219" spans="1:20" ht="45">
      <c r="A219" s="62" t="s">
        <v>484</v>
      </c>
      <c r="B219" s="279">
        <f>'RICON_RICON-S-EK_GIGANT_WALCO '!H767</f>
        <v>2.6785451403230303</v>
      </c>
      <c r="C219" s="279">
        <f>'RICON_RICON-S-EK_GIGANT_WALCO '!I767</f>
        <v>6.6785451403230303</v>
      </c>
      <c r="D219" s="279">
        <f t="shared" si="23"/>
        <v>1.2362516032260138</v>
      </c>
      <c r="E219" s="279">
        <f t="shared" si="23"/>
        <v>1.8543774048390211</v>
      </c>
      <c r="F219" s="279">
        <f t="shared" si="24"/>
        <v>3.0824054493798596</v>
      </c>
      <c r="G219" s="279">
        <f t="shared" si="24"/>
        <v>4.6236081740697896</v>
      </c>
      <c r="H219" s="330">
        <f t="shared" si="25"/>
        <v>183.14838566311315</v>
      </c>
      <c r="I219" s="330">
        <f t="shared" si="20"/>
        <v>456.65265916738662</v>
      </c>
      <c r="J219" s="343"/>
      <c r="K219" s="62" t="s">
        <v>485</v>
      </c>
      <c r="L219" s="350" t="s">
        <v>473</v>
      </c>
      <c r="M219" s="279">
        <f>'RICON_RICON-S-EK_GIGANT_WALCO '!H767</f>
        <v>2.6785451403230303</v>
      </c>
      <c r="N219" s="279">
        <f>'RICON_RICON-S-EK_GIGANT_WALCO '!I767</f>
        <v>6.6785451403230303</v>
      </c>
      <c r="O219" s="279">
        <f t="shared" si="21"/>
        <v>1.2362516032260138</v>
      </c>
      <c r="P219" s="279">
        <f t="shared" si="21"/>
        <v>1.8543774048390211</v>
      </c>
      <c r="Q219" s="279">
        <f t="shared" si="22"/>
        <v>3.0824054493798596</v>
      </c>
      <c r="R219" s="279">
        <f t="shared" si="22"/>
        <v>4.6236081740697896</v>
      </c>
      <c r="S219" s="330">
        <f t="shared" si="26"/>
        <v>183.14838566311315</v>
      </c>
      <c r="T219" s="330">
        <f t="shared" si="27"/>
        <v>456.65265916738662</v>
      </c>
    </row>
    <row r="220" spans="1:20" ht="45">
      <c r="A220" s="62" t="s">
        <v>486</v>
      </c>
      <c r="B220" s="279">
        <f>'RICON_RICON-S-EK_GIGANT_WALCO '!H768</f>
        <v>3.3245358298367984</v>
      </c>
      <c r="C220" s="279">
        <f>'RICON_RICON-S-EK_GIGANT_WALCO '!I768</f>
        <v>7.3245358298367984</v>
      </c>
      <c r="D220" s="279">
        <f t="shared" si="23"/>
        <v>1.5344011522323684</v>
      </c>
      <c r="E220" s="279">
        <f t="shared" si="23"/>
        <v>2.3016017283485528</v>
      </c>
      <c r="F220" s="279">
        <f t="shared" si="24"/>
        <v>3.3805549983862146</v>
      </c>
      <c r="G220" s="279">
        <f t="shared" si="24"/>
        <v>5.070832497579322</v>
      </c>
      <c r="H220" s="330">
        <f t="shared" si="25"/>
        <v>227.31868921961009</v>
      </c>
      <c r="I220" s="330">
        <f t="shared" si="20"/>
        <v>500.82296272388362</v>
      </c>
      <c r="J220" s="343"/>
      <c r="K220" s="62" t="s">
        <v>487</v>
      </c>
      <c r="L220" s="350" t="s">
        <v>474</v>
      </c>
      <c r="M220" s="279">
        <f>'RICON_RICON-S-EK_GIGANT_WALCO '!H768</f>
        <v>3.3245358298367984</v>
      </c>
      <c r="N220" s="279">
        <f>'RICON_RICON-S-EK_GIGANT_WALCO '!I768</f>
        <v>7.3245358298367984</v>
      </c>
      <c r="O220" s="279">
        <f t="shared" si="21"/>
        <v>1.5344011522323684</v>
      </c>
      <c r="P220" s="279">
        <f t="shared" si="21"/>
        <v>2.3016017283485528</v>
      </c>
      <c r="Q220" s="279">
        <f t="shared" si="22"/>
        <v>3.3805549983862146</v>
      </c>
      <c r="R220" s="279">
        <f t="shared" si="22"/>
        <v>5.070832497579322</v>
      </c>
      <c r="S220" s="330">
        <f t="shared" si="26"/>
        <v>227.31868921961009</v>
      </c>
      <c r="T220" s="330">
        <f t="shared" si="27"/>
        <v>500.82296272388362</v>
      </c>
    </row>
    <row r="221" spans="1:20" ht="45">
      <c r="A221" s="256" t="s">
        <v>488</v>
      </c>
      <c r="B221" s="279">
        <f>'RICON_RICON-S-EK_GIGANT_WALCO '!H771</f>
        <v>4.1135329443476287</v>
      </c>
      <c r="C221" s="279">
        <f>'RICON_RICON-S-EK_GIGANT_WALCO '!I771</f>
        <v>8.1135329443476287</v>
      </c>
      <c r="D221" s="279">
        <f t="shared" si="23"/>
        <v>1.8985536666219824</v>
      </c>
      <c r="E221" s="279">
        <f t="shared" si="23"/>
        <v>2.8478304999329738</v>
      </c>
      <c r="F221" s="279">
        <f t="shared" si="24"/>
        <v>3.744707512775828</v>
      </c>
      <c r="G221" s="279">
        <f t="shared" si="24"/>
        <v>5.6170612691637434</v>
      </c>
      <c r="H221" s="330">
        <f t="shared" si="25"/>
        <v>281.26720986992331</v>
      </c>
      <c r="I221" s="330">
        <f t="shared" si="20"/>
        <v>554.77148337419669</v>
      </c>
      <c r="J221" s="343"/>
      <c r="K221" s="256" t="s">
        <v>489</v>
      </c>
      <c r="L221" s="353" t="s">
        <v>473</v>
      </c>
      <c r="M221" s="279">
        <f>'RICON_RICON-S-EK_GIGANT_WALCO '!H771</f>
        <v>4.1135329443476287</v>
      </c>
      <c r="N221" s="279">
        <f>'RICON_RICON-S-EK_GIGANT_WALCO '!I771</f>
        <v>8.1135329443476287</v>
      </c>
      <c r="O221" s="279">
        <f t="shared" si="21"/>
        <v>1.8985536666219824</v>
      </c>
      <c r="P221" s="279">
        <f t="shared" si="21"/>
        <v>2.8478304999329738</v>
      </c>
      <c r="Q221" s="279">
        <f t="shared" si="22"/>
        <v>3.744707512775828</v>
      </c>
      <c r="R221" s="279">
        <f t="shared" si="22"/>
        <v>5.6170612691637434</v>
      </c>
      <c r="S221" s="330">
        <f t="shared" si="26"/>
        <v>281.26720986992331</v>
      </c>
      <c r="T221" s="330">
        <f t="shared" si="27"/>
        <v>554.77148337419669</v>
      </c>
    </row>
    <row r="222" spans="1:20" ht="45">
      <c r="A222" s="256" t="s">
        <v>490</v>
      </c>
      <c r="B222" s="279">
        <f>'RICON_RICON-S-EK_GIGANT_WALCO '!H772</f>
        <v>5.1055236549138909</v>
      </c>
      <c r="C222" s="279">
        <f>'RICON_RICON-S-EK_GIGANT_WALCO '!I772</f>
        <v>9.1055236549138918</v>
      </c>
      <c r="D222" s="279">
        <f t="shared" si="23"/>
        <v>2.3563955330371802</v>
      </c>
      <c r="E222" s="279">
        <f t="shared" si="23"/>
        <v>3.5345932995557705</v>
      </c>
      <c r="F222" s="279">
        <f t="shared" si="24"/>
        <v>4.2025493791910264</v>
      </c>
      <c r="G222" s="279">
        <f t="shared" si="24"/>
        <v>6.3038240687865406</v>
      </c>
      <c r="H222" s="330">
        <f t="shared" si="25"/>
        <v>349.09563452402671</v>
      </c>
      <c r="I222" s="330">
        <f t="shared" si="20"/>
        <v>622.59990802830021</v>
      </c>
      <c r="J222" s="343"/>
      <c r="K222" s="256" t="s">
        <v>491</v>
      </c>
      <c r="L222" s="353" t="s">
        <v>474</v>
      </c>
      <c r="M222" s="279">
        <f>'RICON_RICON-S-EK_GIGANT_WALCO '!H772</f>
        <v>5.1055236549138909</v>
      </c>
      <c r="N222" s="279">
        <f>'RICON_RICON-S-EK_GIGANT_WALCO '!I772</f>
        <v>9.1055236549138918</v>
      </c>
      <c r="O222" s="279">
        <f t="shared" si="21"/>
        <v>2.3563955330371802</v>
      </c>
      <c r="P222" s="279">
        <f t="shared" si="21"/>
        <v>3.5345932995557705</v>
      </c>
      <c r="Q222" s="279">
        <f t="shared" si="22"/>
        <v>4.2025493791910264</v>
      </c>
      <c r="R222" s="279">
        <f t="shared" si="22"/>
        <v>6.3038240687865406</v>
      </c>
      <c r="S222" s="330">
        <f t="shared" si="26"/>
        <v>349.09563452402671</v>
      </c>
      <c r="T222" s="330">
        <f t="shared" si="27"/>
        <v>622.59990802830021</v>
      </c>
    </row>
    <row r="223" spans="1:20" ht="45">
      <c r="A223" s="62" t="s">
        <v>492</v>
      </c>
      <c r="B223" s="279">
        <f>'RICON_RICON-S-EK_GIGANT_WALCO '!H773</f>
        <v>2.8454065427374902</v>
      </c>
      <c r="C223" s="279">
        <f>'RICON_RICON-S-EK_GIGANT_WALCO '!I773</f>
        <v>6.8454065427374902</v>
      </c>
      <c r="D223" s="279">
        <f t="shared" si="23"/>
        <v>1.3132645581865339</v>
      </c>
      <c r="E223" s="279">
        <f t="shared" si="23"/>
        <v>1.9698968372798009</v>
      </c>
      <c r="F223" s="279">
        <f t="shared" si="24"/>
        <v>3.1594184043403799</v>
      </c>
      <c r="G223" s="279">
        <f t="shared" si="24"/>
        <v>4.7391276065105696</v>
      </c>
      <c r="H223" s="330">
        <f t="shared" si="25"/>
        <v>194.55771232393093</v>
      </c>
      <c r="I223" s="330">
        <f t="shared" si="20"/>
        <v>468.0619858282044</v>
      </c>
      <c r="J223" s="343"/>
      <c r="K223" s="62" t="s">
        <v>493</v>
      </c>
      <c r="L223" s="350" t="s">
        <v>590</v>
      </c>
      <c r="M223" s="279">
        <f>'RICON_RICON-S-EK_GIGANT_WALCO '!H773</f>
        <v>2.8454065427374902</v>
      </c>
      <c r="N223" s="279">
        <f>'RICON_RICON-S-EK_GIGANT_WALCO '!I773</f>
        <v>6.8454065427374902</v>
      </c>
      <c r="O223" s="279">
        <f t="shared" si="21"/>
        <v>1.3132645581865339</v>
      </c>
      <c r="P223" s="279">
        <f t="shared" si="21"/>
        <v>1.9698968372798009</v>
      </c>
      <c r="Q223" s="279">
        <f t="shared" si="22"/>
        <v>3.1594184043403799</v>
      </c>
      <c r="R223" s="279">
        <f t="shared" si="22"/>
        <v>4.7391276065105696</v>
      </c>
      <c r="S223" s="330">
        <f t="shared" si="26"/>
        <v>194.55771232393093</v>
      </c>
      <c r="T223" s="330">
        <f t="shared" si="27"/>
        <v>468.0619858282044</v>
      </c>
    </row>
    <row r="224" spans="1:20" ht="45">
      <c r="A224" s="62" t="s">
        <v>494</v>
      </c>
      <c r="B224" s="279">
        <f>'RICON_RICON-S-EK_GIGANT_WALCO '!H774</f>
        <v>4.2725432285353833</v>
      </c>
      <c r="C224" s="279">
        <f>'RICON_RICON-S-EK_GIGANT_WALCO '!I774</f>
        <v>8.2725432285353833</v>
      </c>
      <c r="D224" s="279">
        <f t="shared" si="23"/>
        <v>1.9719430285547921</v>
      </c>
      <c r="E224" s="279">
        <f t="shared" si="23"/>
        <v>2.9579145428321882</v>
      </c>
      <c r="F224" s="279">
        <f t="shared" si="24"/>
        <v>3.8180968747086386</v>
      </c>
      <c r="G224" s="279">
        <f t="shared" si="24"/>
        <v>5.727145312062957</v>
      </c>
      <c r="H224" s="330">
        <f t="shared" si="25"/>
        <v>292.13970793404326</v>
      </c>
      <c r="I224" s="330">
        <f t="shared" si="20"/>
        <v>565.64398143831681</v>
      </c>
      <c r="J224" s="343"/>
      <c r="K224" s="62" t="s">
        <v>495</v>
      </c>
      <c r="L224" s="350" t="s">
        <v>591</v>
      </c>
      <c r="M224" s="279">
        <f>'RICON_RICON-S-EK_GIGANT_WALCO '!H774</f>
        <v>4.2725432285353833</v>
      </c>
      <c r="N224" s="279">
        <f>'RICON_RICON-S-EK_GIGANT_WALCO '!I774</f>
        <v>8.2725432285353833</v>
      </c>
      <c r="O224" s="279">
        <f t="shared" si="21"/>
        <v>1.9719430285547921</v>
      </c>
      <c r="P224" s="279">
        <f t="shared" si="21"/>
        <v>2.9579145428321882</v>
      </c>
      <c r="Q224" s="279">
        <f t="shared" si="22"/>
        <v>3.8180968747086386</v>
      </c>
      <c r="R224" s="279">
        <f t="shared" si="22"/>
        <v>5.727145312062957</v>
      </c>
      <c r="S224" s="330">
        <f t="shared" si="26"/>
        <v>292.13970793404326</v>
      </c>
      <c r="T224" s="330">
        <f t="shared" si="27"/>
        <v>565.64398143831681</v>
      </c>
    </row>
    <row r="225" spans="1:20" ht="45">
      <c r="A225" s="62" t="s">
        <v>496</v>
      </c>
      <c r="B225" s="279">
        <f>'RICON_RICON-S-EK_GIGANT_WALCO '!H775</f>
        <v>5.6346405643713657</v>
      </c>
      <c r="C225" s="279">
        <f>'RICON_RICON-S-EK_GIGANT_WALCO '!I775</f>
        <v>9.6346405643713666</v>
      </c>
      <c r="D225" s="279">
        <f t="shared" si="23"/>
        <v>2.6006033374021684</v>
      </c>
      <c r="E225" s="279">
        <f t="shared" si="23"/>
        <v>3.9009050061032533</v>
      </c>
      <c r="F225" s="279">
        <f t="shared" si="24"/>
        <v>4.4467571835560156</v>
      </c>
      <c r="G225" s="279">
        <f t="shared" si="24"/>
        <v>6.6701357753340238</v>
      </c>
      <c r="H225" s="330">
        <f t="shared" si="25"/>
        <v>385.2745685040249</v>
      </c>
      <c r="I225" s="330">
        <f t="shared" si="20"/>
        <v>658.77884200829851</v>
      </c>
      <c r="J225" s="343"/>
      <c r="K225" s="62" t="s">
        <v>497</v>
      </c>
      <c r="L225" s="350" t="s">
        <v>592</v>
      </c>
      <c r="M225" s="279">
        <f>'RICON_RICON-S-EK_GIGANT_WALCO '!H775</f>
        <v>5.6346405643713657</v>
      </c>
      <c r="N225" s="279">
        <f>'RICON_RICON-S-EK_GIGANT_WALCO '!I775</f>
        <v>9.6346405643713666</v>
      </c>
      <c r="O225" s="279">
        <f t="shared" si="21"/>
        <v>2.6006033374021684</v>
      </c>
      <c r="P225" s="279">
        <f t="shared" si="21"/>
        <v>3.9009050061032533</v>
      </c>
      <c r="Q225" s="279">
        <f t="shared" si="22"/>
        <v>4.4467571835560156</v>
      </c>
      <c r="R225" s="279">
        <f t="shared" si="22"/>
        <v>6.6701357753340238</v>
      </c>
      <c r="S225" s="330">
        <f t="shared" si="26"/>
        <v>385.2745685040249</v>
      </c>
      <c r="T225" s="330">
        <f t="shared" si="27"/>
        <v>658.77884200829851</v>
      </c>
    </row>
    <row r="226" spans="1:20" ht="45">
      <c r="A226" s="62" t="s">
        <v>498</v>
      </c>
      <c r="B226" s="279">
        <f>'RICON_RICON-S-EK_GIGANT_WALCO '!H776</f>
        <v>5.1169638723882258</v>
      </c>
      <c r="C226" s="279">
        <f>'RICON_RICON-S-EK_GIGANT_WALCO '!I776</f>
        <v>9.1169638723882258</v>
      </c>
      <c r="D226" s="279">
        <f t="shared" si="23"/>
        <v>2.3616756334099502</v>
      </c>
      <c r="E226" s="279">
        <f t="shared" si="23"/>
        <v>3.5425134501149258</v>
      </c>
      <c r="F226" s="279">
        <f t="shared" si="24"/>
        <v>4.207829479563796</v>
      </c>
      <c r="G226" s="279">
        <f t="shared" si="24"/>
        <v>6.3117442193456954</v>
      </c>
      <c r="H226" s="330">
        <f t="shared" si="25"/>
        <v>349.87787161628893</v>
      </c>
      <c r="I226" s="330">
        <f t="shared" si="20"/>
        <v>623.38214512056231</v>
      </c>
      <c r="J226" s="343"/>
      <c r="K226" s="62" t="s">
        <v>499</v>
      </c>
      <c r="L226" s="350" t="s">
        <v>593</v>
      </c>
      <c r="M226" s="279">
        <f>'RICON_RICON-S-EK_GIGANT_WALCO '!H776</f>
        <v>5.1169638723882258</v>
      </c>
      <c r="N226" s="279">
        <f>'RICON_RICON-S-EK_GIGANT_WALCO '!I776</f>
        <v>9.1169638723882258</v>
      </c>
      <c r="O226" s="279">
        <f t="shared" si="21"/>
        <v>2.3616756334099502</v>
      </c>
      <c r="P226" s="279">
        <f t="shared" si="21"/>
        <v>3.5425134501149258</v>
      </c>
      <c r="Q226" s="279">
        <f t="shared" si="22"/>
        <v>4.207829479563796</v>
      </c>
      <c r="R226" s="279">
        <f t="shared" si="22"/>
        <v>6.3117442193456954</v>
      </c>
      <c r="S226" s="330">
        <f t="shared" si="26"/>
        <v>349.87787161628893</v>
      </c>
      <c r="T226" s="330">
        <f t="shared" si="27"/>
        <v>623.38214512056231</v>
      </c>
    </row>
    <row r="227" spans="1:20" ht="45">
      <c r="A227" s="62" t="s">
        <v>500</v>
      </c>
      <c r="B227" s="279">
        <f>'RICON_RICON-S-EK_GIGANT_WALCO '!H777</f>
        <v>4.6863960027681477</v>
      </c>
      <c r="C227" s="279">
        <f>'RICON_RICON-S-EK_GIGANT_WALCO '!I777</f>
        <v>8.6863960027681486</v>
      </c>
      <c r="D227" s="279">
        <f t="shared" si="23"/>
        <v>2.1629520012776062</v>
      </c>
      <c r="E227" s="279">
        <f t="shared" si="23"/>
        <v>3.2444280019164102</v>
      </c>
      <c r="F227" s="279">
        <f t="shared" si="24"/>
        <v>4.0091058474314529</v>
      </c>
      <c r="G227" s="279">
        <f t="shared" si="24"/>
        <v>6.0136587711471794</v>
      </c>
      <c r="H227" s="330">
        <f t="shared" si="25"/>
        <v>320.4373335226083</v>
      </c>
      <c r="I227" s="330">
        <f t="shared" si="20"/>
        <v>593.94160702688191</v>
      </c>
      <c r="J227" s="343"/>
      <c r="K227" s="62" t="s">
        <v>501</v>
      </c>
      <c r="L227" s="350" t="s">
        <v>594</v>
      </c>
      <c r="M227" s="279">
        <f>'RICON_RICON-S-EK_GIGANT_WALCO '!H777</f>
        <v>4.6863960027681477</v>
      </c>
      <c r="N227" s="279">
        <f>'RICON_RICON-S-EK_GIGANT_WALCO '!I777</f>
        <v>8.6863960027681486</v>
      </c>
      <c r="O227" s="279">
        <f t="shared" si="21"/>
        <v>2.1629520012776062</v>
      </c>
      <c r="P227" s="279">
        <f t="shared" si="21"/>
        <v>3.2444280019164102</v>
      </c>
      <c r="Q227" s="279">
        <f t="shared" si="22"/>
        <v>4.0091058474314529</v>
      </c>
      <c r="R227" s="279">
        <f t="shared" si="22"/>
        <v>6.0136587711471794</v>
      </c>
      <c r="S227" s="330">
        <f t="shared" si="26"/>
        <v>320.4373335226083</v>
      </c>
      <c r="T227" s="330">
        <f t="shared" si="27"/>
        <v>593.94160702688191</v>
      </c>
    </row>
  </sheetData>
  <sheetProtection algorithmName="SHA-512" hashValue="4j9JVkIM8trLKI3c6XMIHif4HjO3v6cBF3cOyWbSpwJO8dOwrmqNG9exHaeJ0/6I+LxrrHu3YxUe+dK/YnkjXw==" saltValue="SxDviw4lJKBhewCNOlKyKQ==" spinCount="100000" sheet="1" objects="1" scenarios="1" selectLockedCells="1"/>
  <customSheetViews>
    <customSheetView guid="{88029C9E-0AAA-4AEA-8FBA-3530118F01BF}" hiddenColumns="1" topLeftCell="K1">
      <selection activeCell="O18" sqref="O18"/>
      <rowBreaks count="4" manualBreakCount="4">
        <brk id="37" max="16383" man="1"/>
        <brk id="68" max="16383" man="1"/>
        <brk id="99" max="16383" man="1"/>
        <brk id="146" max="16383" man="1"/>
      </rowBreaks>
      <colBreaks count="1" manualBreakCount="1">
        <brk id="10" max="1048575" man="1"/>
      </colBreaks>
      <pageMargins left="0.23622047244094491" right="0.23622047244094491" top="0.74803149606299213" bottom="0.74803149606299213" header="0.31496062992125984" footer="0.31496062992125984"/>
      <pageSetup paperSize="9" scale="62" orientation="portrait" r:id="rId1"/>
    </customSheetView>
  </customSheetViews>
  <mergeCells count="52">
    <mergeCell ref="A1:H2"/>
    <mergeCell ref="K1:S2"/>
    <mergeCell ref="B16:C16"/>
    <mergeCell ref="D16:H16"/>
    <mergeCell ref="M16:N16"/>
    <mergeCell ref="O16:S16"/>
    <mergeCell ref="A4:H4"/>
    <mergeCell ref="A38:H38"/>
    <mergeCell ref="K38:S38"/>
    <mergeCell ref="B41:C41"/>
    <mergeCell ref="D41:H41"/>
    <mergeCell ref="M41:N41"/>
    <mergeCell ref="O41:S41"/>
    <mergeCell ref="A69:H69"/>
    <mergeCell ref="K69:S69"/>
    <mergeCell ref="B72:C72"/>
    <mergeCell ref="D72:H72"/>
    <mergeCell ref="M72:N72"/>
    <mergeCell ref="O72:S72"/>
    <mergeCell ref="A100:H100"/>
    <mergeCell ref="K100:S100"/>
    <mergeCell ref="B110:C110"/>
    <mergeCell ref="D110:H110"/>
    <mergeCell ref="M110:N110"/>
    <mergeCell ref="O110:S110"/>
    <mergeCell ref="A122:H122"/>
    <mergeCell ref="B134:C134"/>
    <mergeCell ref="D134:H134"/>
    <mergeCell ref="M134:N134"/>
    <mergeCell ref="O134:S134"/>
    <mergeCell ref="A147:H147"/>
    <mergeCell ref="B172:C172"/>
    <mergeCell ref="D172:H172"/>
    <mergeCell ref="M172:N172"/>
    <mergeCell ref="O172:S172"/>
    <mergeCell ref="A198:H198"/>
    <mergeCell ref="K198:S198"/>
    <mergeCell ref="B212:C212"/>
    <mergeCell ref="D212:F212"/>
    <mergeCell ref="H212:I212"/>
    <mergeCell ref="M212:N212"/>
    <mergeCell ref="O212:Q212"/>
    <mergeCell ref="S212:T212"/>
    <mergeCell ref="S213:S214"/>
    <mergeCell ref="T213:T214"/>
    <mergeCell ref="D213:E213"/>
    <mergeCell ref="F213:G213"/>
    <mergeCell ref="H213:H214"/>
    <mergeCell ref="I213:I214"/>
    <mergeCell ref="O213:P213"/>
    <mergeCell ref="Q213:R213"/>
    <mergeCell ref="L212:L214"/>
  </mergeCells>
  <pageMargins left="0.23622047244094491" right="0.23622047244094491" top="0.74803149606299213" bottom="0.74803149606299213" header="0.31496062992125984" footer="0.31496062992125984"/>
  <pageSetup paperSize="9" scale="62" orientation="portrait" r:id="rId2"/>
  <rowBreaks count="4" manualBreakCount="4">
    <brk id="37" max="16383" man="1"/>
    <brk id="68" max="16383" man="1"/>
    <brk id="99" max="16383" man="1"/>
    <brk id="146" max="16383" man="1"/>
  </rowBreaks>
  <colBreaks count="1" manualBreakCount="1">
    <brk id="10"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S27"/>
  <sheetViews>
    <sheetView showGridLines="0" showRowColHeaders="0" view="pageLayout" zoomScaleNormal="100" workbookViewId="0">
      <selection activeCell="E5" sqref="E5"/>
    </sheetView>
  </sheetViews>
  <sheetFormatPr baseColWidth="10" defaultRowHeight="15"/>
  <cols>
    <col min="1" max="1" width="27.42578125" customWidth="1"/>
    <col min="2" max="2" width="24.85546875" bestFit="1" customWidth="1"/>
    <col min="4" max="4" width="25" customWidth="1"/>
    <col min="10" max="10" width="13.140625" customWidth="1"/>
    <col min="12" max="12" width="27.42578125" hidden="1" customWidth="1"/>
    <col min="13" max="13" width="0" hidden="1" customWidth="1"/>
    <col min="14" max="14" width="13.7109375" hidden="1" customWidth="1"/>
    <col min="15" max="20" width="0" hidden="1" customWidth="1"/>
  </cols>
  <sheetData>
    <row r="1" spans="1:19" ht="21" customHeight="1">
      <c r="A1" s="758" t="s">
        <v>638</v>
      </c>
      <c r="B1" s="758"/>
      <c r="C1" s="758"/>
      <c r="D1" s="758"/>
      <c r="E1" s="758"/>
      <c r="F1" s="758"/>
      <c r="G1" s="758"/>
      <c r="H1" s="758"/>
      <c r="I1" s="758"/>
      <c r="J1" s="758"/>
      <c r="L1" s="791" t="s">
        <v>417</v>
      </c>
      <c r="M1" s="791"/>
      <c r="N1" s="791"/>
      <c r="O1" s="791"/>
      <c r="P1" s="791"/>
      <c r="Q1" s="791"/>
      <c r="R1" s="791"/>
      <c r="S1" s="791"/>
    </row>
    <row r="2" spans="1:19" ht="21.6" customHeight="1" thickBot="1">
      <c r="A2" s="759"/>
      <c r="B2" s="759"/>
      <c r="C2" s="759"/>
      <c r="D2" s="759"/>
      <c r="E2" s="759"/>
      <c r="F2" s="759"/>
      <c r="G2" s="759"/>
      <c r="H2" s="759"/>
      <c r="I2" s="759"/>
      <c r="J2" s="759"/>
      <c r="L2" s="791"/>
      <c r="M2" s="791"/>
      <c r="N2" s="791"/>
      <c r="O2" s="791"/>
      <c r="P2" s="791"/>
      <c r="Q2" s="791"/>
      <c r="R2" s="791"/>
      <c r="S2" s="791"/>
    </row>
    <row r="3" spans="1:19" ht="21.6" customHeight="1">
      <c r="A3" s="344"/>
      <c r="B3" s="344"/>
      <c r="C3" s="344"/>
      <c r="D3" s="344"/>
      <c r="E3" s="344"/>
      <c r="F3" s="344"/>
      <c r="G3" s="344"/>
      <c r="H3" s="344"/>
      <c r="I3" s="344"/>
      <c r="L3" s="344"/>
      <c r="M3" s="344"/>
      <c r="N3" s="344"/>
      <c r="O3" s="344"/>
      <c r="P3" s="344"/>
      <c r="Q3" s="344"/>
      <c r="R3" s="344"/>
      <c r="S3" s="344"/>
    </row>
    <row r="4" spans="1:19" ht="33.75">
      <c r="A4" s="370" t="s">
        <v>388</v>
      </c>
      <c r="B4" s="371"/>
      <c r="C4" s="371"/>
      <c r="D4" s="371"/>
      <c r="E4" s="371"/>
      <c r="F4" s="371"/>
      <c r="G4" s="371"/>
      <c r="H4" s="371"/>
      <c r="I4" s="371"/>
      <c r="J4" s="369"/>
      <c r="L4" s="344"/>
      <c r="M4" s="344"/>
      <c r="N4" s="344"/>
      <c r="O4" s="344"/>
      <c r="P4" s="344"/>
      <c r="Q4" s="344"/>
      <c r="R4" s="344"/>
      <c r="S4" s="344"/>
    </row>
    <row r="5" spans="1:19" ht="21">
      <c r="A5" s="337" t="s">
        <v>632</v>
      </c>
      <c r="B5" s="362"/>
      <c r="C5" s="362"/>
      <c r="D5" s="362" t="s">
        <v>634</v>
      </c>
      <c r="E5" s="400" t="s">
        <v>25</v>
      </c>
      <c r="G5" s="391" t="str">
        <f>VLOOKUP(E5,'RICON_RICON-S-EK_GIGANT_WALCO '!V7:AB16,4,FALSE)</f>
        <v>Brettschichtholz homogen</v>
      </c>
      <c r="H5" s="391"/>
      <c r="L5" s="792" t="s">
        <v>442</v>
      </c>
      <c r="M5" s="792"/>
      <c r="N5" s="792"/>
      <c r="O5" s="792"/>
      <c r="P5" s="792"/>
      <c r="Q5" s="792"/>
      <c r="R5" s="792"/>
      <c r="S5" s="792"/>
    </row>
    <row r="6" spans="1:19" ht="18.75">
      <c r="D6" s="362" t="s">
        <v>633</v>
      </c>
      <c r="E6" s="400">
        <v>1</v>
      </c>
      <c r="G6" s="391" t="str">
        <f>VLOOKUP(E6,'RICON_RICON-S-EK_GIGANT_WALCO '!V27:AA28,3,FALSE)</f>
        <v>Innenbereich</v>
      </c>
      <c r="H6" s="392"/>
      <c r="L6" s="339" t="s">
        <v>418</v>
      </c>
    </row>
    <row r="7" spans="1:19" ht="21.6" customHeight="1">
      <c r="A7" s="344"/>
      <c r="B7" s="344"/>
      <c r="C7" s="344"/>
      <c r="I7" s="344"/>
      <c r="L7" s="344"/>
      <c r="M7" s="344"/>
      <c r="N7" s="344"/>
      <c r="O7" s="344"/>
      <c r="P7" s="344"/>
      <c r="Q7" s="344"/>
      <c r="R7" s="344"/>
      <c r="S7" s="344"/>
    </row>
    <row r="8" spans="1:19" ht="18.75">
      <c r="A8" s="339"/>
      <c r="B8" s="339"/>
      <c r="L8" s="339"/>
    </row>
    <row r="9" spans="1:19" ht="18.75">
      <c r="A9" s="339"/>
      <c r="B9" s="339"/>
      <c r="L9" s="339"/>
    </row>
    <row r="10" spans="1:19" ht="18.75">
      <c r="A10" s="339"/>
      <c r="B10" s="339"/>
      <c r="L10" s="339"/>
    </row>
    <row r="11" spans="1:19" ht="18.75">
      <c r="A11" s="339"/>
      <c r="B11" s="339"/>
      <c r="L11" s="339"/>
    </row>
    <row r="12" spans="1:19" ht="18.75">
      <c r="A12" s="339"/>
      <c r="B12" s="339"/>
      <c r="L12" s="339"/>
    </row>
    <row r="13" spans="1:19" ht="18.75">
      <c r="A13" s="339"/>
      <c r="B13" s="339"/>
      <c r="L13" s="339"/>
    </row>
    <row r="14" spans="1:19" ht="18.75">
      <c r="A14" s="339"/>
      <c r="B14" s="339"/>
      <c r="L14" s="339"/>
    </row>
    <row r="15" spans="1:19" ht="21">
      <c r="A15" s="336"/>
      <c r="B15" s="336"/>
      <c r="L15" s="336" t="s">
        <v>440</v>
      </c>
    </row>
    <row r="16" spans="1:19" ht="15" customHeight="1">
      <c r="A16" s="3" t="s">
        <v>2</v>
      </c>
      <c r="B16" s="356" t="s">
        <v>581</v>
      </c>
      <c r="C16" s="790" t="s">
        <v>423</v>
      </c>
      <c r="D16" s="790"/>
      <c r="E16" s="703" t="str">
        <f>"Design values F2,Rd for "&amp;E5&amp;" [kN]"</f>
        <v>Design values F2,Rd for GL24h [kN]</v>
      </c>
      <c r="F16" s="704"/>
      <c r="G16" s="704"/>
      <c r="H16" s="704"/>
      <c r="I16" s="401" t="s">
        <v>648</v>
      </c>
      <c r="L16" s="3" t="s">
        <v>386</v>
      </c>
      <c r="M16" s="793" t="s">
        <v>423</v>
      </c>
      <c r="N16" s="793"/>
      <c r="O16" s="664" t="s">
        <v>421</v>
      </c>
      <c r="P16" s="665"/>
      <c r="Q16" s="665"/>
      <c r="R16" s="665"/>
      <c r="S16" s="666"/>
    </row>
    <row r="17" spans="1:19">
      <c r="A17" s="7"/>
      <c r="B17" s="354" t="s">
        <v>580</v>
      </c>
      <c r="C17" s="396" t="s">
        <v>384</v>
      </c>
      <c r="D17" s="396" t="s">
        <v>385</v>
      </c>
      <c r="E17" s="397">
        <v>0.6</v>
      </c>
      <c r="F17" s="397">
        <v>0.7</v>
      </c>
      <c r="G17" s="397">
        <v>0.8</v>
      </c>
      <c r="H17" s="397">
        <v>0.9</v>
      </c>
      <c r="I17" s="397">
        <v>1</v>
      </c>
      <c r="L17" s="7"/>
      <c r="M17" s="41" t="s">
        <v>384</v>
      </c>
      <c r="N17" s="41" t="s">
        <v>385</v>
      </c>
      <c r="O17" s="87">
        <v>0.6</v>
      </c>
      <c r="P17" s="87">
        <v>0.7</v>
      </c>
      <c r="Q17" s="87">
        <v>0.8</v>
      </c>
      <c r="R17" s="87">
        <v>0.9</v>
      </c>
      <c r="S17" s="87">
        <v>1</v>
      </c>
    </row>
    <row r="18" spans="1:19" ht="45">
      <c r="A18" s="62" t="s">
        <v>552</v>
      </c>
      <c r="B18" s="350" t="s">
        <v>585</v>
      </c>
      <c r="C18" s="367">
        <f>'RICON_RICON-S-EK_GIGANT_WALCO '!C127</f>
        <v>17</v>
      </c>
      <c r="D18" s="367">
        <f>'RICON_RICON-S-EK_GIGANT_WALCO '!F127</f>
        <v>12.49450681193213</v>
      </c>
      <c r="E18" s="279">
        <f>MIN($C18/1,$D18*E$17/1.3)</f>
        <v>5.7666954516609827</v>
      </c>
      <c r="F18" s="279">
        <f t="shared" ref="F18:I22" si="0">MIN($C18/1,$D18*F$17/1.3)</f>
        <v>6.7278113602711462</v>
      </c>
      <c r="G18" s="279">
        <f t="shared" si="0"/>
        <v>7.6889272688813115</v>
      </c>
      <c r="H18" s="279">
        <f t="shared" si="0"/>
        <v>8.6500431774914741</v>
      </c>
      <c r="I18" s="279">
        <f t="shared" si="0"/>
        <v>9.6111590861016385</v>
      </c>
      <c r="L18" s="62" t="s">
        <v>346</v>
      </c>
      <c r="M18" s="279">
        <f>'RICON_RICON-S-EK_GIGANT_WALCO '!C127</f>
        <v>17</v>
      </c>
      <c r="N18" s="279">
        <f>'RICON_RICON-S-EK_GIGANT_WALCO '!F127</f>
        <v>12.49450681193213</v>
      </c>
      <c r="O18" s="279">
        <f>MIN($C18/1,$D18*O$17/1.3)</f>
        <v>5.7666954516609827</v>
      </c>
      <c r="P18" s="279">
        <f t="shared" ref="P18:S22" si="1">MIN($C18/1,$D18*P$17/1.3)</f>
        <v>6.7278113602711462</v>
      </c>
      <c r="Q18" s="279">
        <f t="shared" si="1"/>
        <v>7.6889272688813115</v>
      </c>
      <c r="R18" s="279">
        <f t="shared" si="1"/>
        <v>8.6500431774914741</v>
      </c>
      <c r="S18" s="279">
        <f t="shared" si="1"/>
        <v>9.6111590861016385</v>
      </c>
    </row>
    <row r="19" spans="1:19" ht="60">
      <c r="A19" s="61" t="s">
        <v>554</v>
      </c>
      <c r="B19" s="350" t="s">
        <v>595</v>
      </c>
      <c r="C19" s="367">
        <f>'RICON_RICON-S-EK_GIGANT_WALCO '!C128</f>
        <v>24</v>
      </c>
      <c r="D19" s="367">
        <f>'RICON_RICON-S-EK_GIGANT_WALCO '!F128</f>
        <v>16.659342415909506</v>
      </c>
      <c r="E19" s="279">
        <f>MIN($C19/1,$D19*E$17/1.3)</f>
        <v>7.6889272688813097</v>
      </c>
      <c r="F19" s="279">
        <f t="shared" si="0"/>
        <v>8.970415147028195</v>
      </c>
      <c r="G19" s="279">
        <f t="shared" si="0"/>
        <v>10.251903025175082</v>
      </c>
      <c r="H19" s="279">
        <f t="shared" si="0"/>
        <v>11.533390903321965</v>
      </c>
      <c r="I19" s="279">
        <f t="shared" si="0"/>
        <v>12.814878781468851</v>
      </c>
      <c r="L19" s="61" t="s">
        <v>445</v>
      </c>
      <c r="M19" s="279">
        <f>'RICON_RICON-S-EK_GIGANT_WALCO '!C128</f>
        <v>24</v>
      </c>
      <c r="N19" s="279">
        <f>'RICON_RICON-S-EK_GIGANT_WALCO '!F128</f>
        <v>16.659342415909506</v>
      </c>
      <c r="O19" s="279">
        <f>MIN($C19/1,$D19*O$17/1.3)</f>
        <v>7.6889272688813097</v>
      </c>
      <c r="P19" s="279">
        <f t="shared" si="1"/>
        <v>8.970415147028195</v>
      </c>
      <c r="Q19" s="279">
        <f t="shared" si="1"/>
        <v>10.251903025175082</v>
      </c>
      <c r="R19" s="279">
        <f t="shared" si="1"/>
        <v>11.533390903321965</v>
      </c>
      <c r="S19" s="279">
        <f t="shared" si="1"/>
        <v>12.814878781468851</v>
      </c>
    </row>
    <row r="20" spans="1:19" ht="60">
      <c r="A20" s="61" t="s">
        <v>556</v>
      </c>
      <c r="B20" s="350" t="s">
        <v>596</v>
      </c>
      <c r="C20" s="367">
        <f>'RICON_RICON-S-EK_GIGANT_WALCO '!C130</f>
        <v>24</v>
      </c>
      <c r="D20" s="367">
        <f>'RICON_RICON-S-EK_GIGANT_WALCO '!F130</f>
        <v>16.659342415909506</v>
      </c>
      <c r="E20" s="279">
        <f>MIN($C20/1,$D20*E$17/1.3)</f>
        <v>7.6889272688813097</v>
      </c>
      <c r="F20" s="279">
        <f t="shared" si="0"/>
        <v>8.970415147028195</v>
      </c>
      <c r="G20" s="279">
        <f t="shared" si="0"/>
        <v>10.251903025175082</v>
      </c>
      <c r="H20" s="279">
        <f t="shared" si="0"/>
        <v>11.533390903321965</v>
      </c>
      <c r="I20" s="279">
        <f t="shared" si="0"/>
        <v>12.814878781468851</v>
      </c>
      <c r="L20" s="61" t="s">
        <v>348</v>
      </c>
      <c r="M20" s="279">
        <f>'RICON_RICON-S-EK_GIGANT_WALCO '!C130</f>
        <v>24</v>
      </c>
      <c r="N20" s="279">
        <f>'RICON_RICON-S-EK_GIGANT_WALCO '!F130</f>
        <v>16.659342415909506</v>
      </c>
      <c r="O20" s="279">
        <f>MIN($C20/1,$D20*O$17/1.3)</f>
        <v>7.6889272688813097</v>
      </c>
      <c r="P20" s="279">
        <f t="shared" si="1"/>
        <v>8.970415147028195</v>
      </c>
      <c r="Q20" s="279">
        <f t="shared" si="1"/>
        <v>10.251903025175082</v>
      </c>
      <c r="R20" s="279">
        <f t="shared" si="1"/>
        <v>11.533390903321965</v>
      </c>
      <c r="S20" s="279">
        <f t="shared" si="1"/>
        <v>12.814878781468851</v>
      </c>
    </row>
    <row r="21" spans="1:19" ht="60">
      <c r="A21" s="61" t="s">
        <v>558</v>
      </c>
      <c r="B21" s="350" t="s">
        <v>597</v>
      </c>
      <c r="C21" s="367">
        <f>'RICON_RICON-S-EK_GIGANT_WALCO '!C131</f>
        <v>33</v>
      </c>
      <c r="D21" s="367">
        <f>'RICON_RICON-S-EK_GIGANT_WALCO '!F131</f>
        <v>24.98901362386426</v>
      </c>
      <c r="E21" s="279">
        <f>MIN($C21/1,$D21*E$17/1.3)</f>
        <v>11.533390903321965</v>
      </c>
      <c r="F21" s="279">
        <f t="shared" si="0"/>
        <v>13.455622720542292</v>
      </c>
      <c r="G21" s="279">
        <f t="shared" si="0"/>
        <v>15.377854537762623</v>
      </c>
      <c r="H21" s="279">
        <f t="shared" si="0"/>
        <v>17.300086354982948</v>
      </c>
      <c r="I21" s="279">
        <f t="shared" si="0"/>
        <v>19.222318172203277</v>
      </c>
      <c r="L21" s="61" t="s">
        <v>446</v>
      </c>
      <c r="M21" s="279">
        <f>'RICON_RICON-S-EK_GIGANT_WALCO '!C131</f>
        <v>33</v>
      </c>
      <c r="N21" s="279">
        <f>'RICON_RICON-S-EK_GIGANT_WALCO '!F131</f>
        <v>24.98901362386426</v>
      </c>
      <c r="O21" s="279">
        <f>MIN($C21/1,$D21*O$17/1.3)</f>
        <v>11.533390903321965</v>
      </c>
      <c r="P21" s="279">
        <f t="shared" si="1"/>
        <v>13.455622720542292</v>
      </c>
      <c r="Q21" s="279">
        <f t="shared" si="1"/>
        <v>15.377854537762623</v>
      </c>
      <c r="R21" s="279">
        <f t="shared" si="1"/>
        <v>17.300086354982948</v>
      </c>
      <c r="S21" s="279">
        <f t="shared" si="1"/>
        <v>19.222318172203277</v>
      </c>
    </row>
    <row r="22" spans="1:19" ht="60">
      <c r="A22" s="61" t="s">
        <v>680</v>
      </c>
      <c r="B22" s="350" t="s">
        <v>598</v>
      </c>
      <c r="C22" s="367">
        <f>'RICON_RICON-S-EK_GIGANT_WALCO '!C133</f>
        <v>33</v>
      </c>
      <c r="D22" s="367">
        <f>'RICON_RICON-S-EK_GIGANT_WALCO '!F133</f>
        <v>20.824178019886883</v>
      </c>
      <c r="E22" s="279">
        <f>MIN($C22/1,$D22*E$17/1.3)</f>
        <v>9.6111590861016385</v>
      </c>
      <c r="F22" s="279">
        <f t="shared" si="0"/>
        <v>11.213018933785243</v>
      </c>
      <c r="G22" s="279">
        <f t="shared" si="0"/>
        <v>12.814878781468851</v>
      </c>
      <c r="H22" s="279">
        <f t="shared" si="0"/>
        <v>14.416738629152459</v>
      </c>
      <c r="I22" s="279">
        <f t="shared" si="0"/>
        <v>16.018598476836065</v>
      </c>
      <c r="L22" s="61" t="s">
        <v>350</v>
      </c>
      <c r="M22" s="279">
        <f>'RICON_RICON-S-EK_GIGANT_WALCO '!C133</f>
        <v>33</v>
      </c>
      <c r="N22" s="279">
        <f>'RICON_RICON-S-EK_GIGANT_WALCO '!F133</f>
        <v>20.824178019886883</v>
      </c>
      <c r="O22" s="279">
        <f>MIN($C22/1,$D22*O$17/1.3)</f>
        <v>9.6111590861016385</v>
      </c>
      <c r="P22" s="279">
        <f t="shared" si="1"/>
        <v>11.213018933785243</v>
      </c>
      <c r="Q22" s="279">
        <f t="shared" si="1"/>
        <v>12.814878781468851</v>
      </c>
      <c r="R22" s="279">
        <f t="shared" si="1"/>
        <v>14.416738629152459</v>
      </c>
      <c r="S22" s="279">
        <f t="shared" si="1"/>
        <v>16.018598476836065</v>
      </c>
    </row>
    <row r="23" spans="1:19">
      <c r="A23" s="332"/>
      <c r="B23" s="351"/>
      <c r="C23" s="338"/>
      <c r="D23" s="338"/>
      <c r="E23" s="338"/>
      <c r="F23" s="338"/>
      <c r="G23" s="338"/>
      <c r="H23" s="338"/>
      <c r="I23" s="338"/>
      <c r="L23" s="332"/>
      <c r="M23" s="338"/>
      <c r="N23" s="338"/>
      <c r="O23" s="338"/>
      <c r="P23" s="338"/>
      <c r="Q23" s="338"/>
      <c r="R23" s="338"/>
      <c r="S23" s="338"/>
    </row>
    <row r="24" spans="1:19">
      <c r="A24" s="332"/>
      <c r="B24" s="351"/>
      <c r="C24" s="338"/>
      <c r="D24" s="338"/>
      <c r="E24" s="338"/>
      <c r="F24" s="338"/>
      <c r="G24" s="338"/>
      <c r="H24" s="338"/>
      <c r="I24" s="338"/>
      <c r="L24" s="332"/>
      <c r="M24" s="338"/>
      <c r="N24" s="338"/>
      <c r="O24" s="338"/>
      <c r="P24" s="338"/>
      <c r="Q24" s="338"/>
      <c r="R24" s="338"/>
      <c r="S24" s="338"/>
    </row>
    <row r="25" spans="1:19">
      <c r="A25" s="332"/>
      <c r="B25" s="351"/>
      <c r="C25" s="338"/>
      <c r="D25" s="338"/>
      <c r="E25" s="338"/>
      <c r="F25" s="338"/>
      <c r="G25" s="338"/>
      <c r="H25" s="338"/>
      <c r="I25" s="338"/>
      <c r="L25" s="332"/>
      <c r="M25" s="338"/>
      <c r="N25" s="338"/>
      <c r="O25" s="338"/>
      <c r="P25" s="338"/>
      <c r="Q25" s="338"/>
      <c r="R25" s="338"/>
      <c r="S25" s="338"/>
    </row>
    <row r="26" spans="1:19">
      <c r="A26" s="332"/>
      <c r="B26" s="351"/>
      <c r="C26" s="338"/>
      <c r="D26" s="338"/>
      <c r="E26" s="338"/>
      <c r="F26" s="338"/>
      <c r="G26" s="338"/>
      <c r="H26" s="338"/>
      <c r="I26" s="338"/>
      <c r="L26" s="332"/>
      <c r="M26" s="338"/>
      <c r="N26" s="338"/>
      <c r="O26" s="338"/>
      <c r="P26" s="338"/>
      <c r="Q26" s="338"/>
      <c r="R26" s="338"/>
      <c r="S26" s="338"/>
    </row>
    <row r="27" spans="1:19">
      <c r="A27" s="332"/>
      <c r="B27" s="332"/>
      <c r="C27" s="338"/>
      <c r="D27" s="338"/>
      <c r="E27" s="338"/>
      <c r="F27" s="338"/>
      <c r="G27" s="338"/>
      <c r="H27" s="338"/>
      <c r="I27" s="338"/>
      <c r="L27" s="332"/>
      <c r="M27" s="338"/>
      <c r="N27" s="338"/>
      <c r="O27" s="338"/>
      <c r="P27" s="338"/>
      <c r="Q27" s="338"/>
      <c r="R27" s="338"/>
      <c r="S27" s="338"/>
    </row>
  </sheetData>
  <sheetProtection password="D94A" sheet="1" objects="1" scenarios="1" selectLockedCells="1"/>
  <mergeCells count="7">
    <mergeCell ref="A1:J2"/>
    <mergeCell ref="L1:S2"/>
    <mergeCell ref="L5:S5"/>
    <mergeCell ref="C16:D16"/>
    <mergeCell ref="M16:N16"/>
    <mergeCell ref="O16:S16"/>
    <mergeCell ref="E16:H16"/>
  </mergeCells>
  <pageMargins left="0.23622047244094491" right="0.23622047244094491" top="0.98425196850393704" bottom="0.74803149606299213" header="0.31496062992125984" footer="0.31496062992125984"/>
  <pageSetup paperSize="9" scale="62" orientation="portrait" r:id="rId1"/>
  <headerFooter>
    <oddHeader>&amp;L&amp;G&amp;R
Date: 01.11.2018
Creater: M. Eng. Dipl.-Ing. (FH) Torsten Langejürgen
Page &amp;P of &amp;N</oddHeader>
    <oddFooter>&amp;CCONNECTING SYSTEMS FOR TIMBER CONSTRUCTION and FURNITURE &amp; INTERIEUR DESIGN
KNAPP GMBH, A-3324 Euratsfeld, Wassergasse 31,  AUSTRIA/EUROPE 
 Tel. +43(0)7474/79910,  Fax +43(0)7474/79910-99
eMail: info@knapp-connectors.com,  www.knapp-connectors.com</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1000000}">
          <x14:formula1>
            <xm:f>'RICON_RICON-S-EK_GIGANT_WALCO '!$V$7:$V$16</xm:f>
          </x14:formula1>
          <xm:sqref>E5</xm:sqref>
        </x14:dataValidation>
        <x14:dataValidation type="list" allowBlank="1" showInputMessage="1" showErrorMessage="1" xr:uid="{00000000-0002-0000-0800-000000000000}">
          <x14:formula1>
            <xm:f>'RICON_RICON-S-EK_GIGANT_WALCO '!$V$27:$V$28</xm:f>
          </x14:formula1>
          <xm:sqref>E6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R69"/>
  <sheetViews>
    <sheetView showGridLines="0" showRowColHeaders="0" view="pageLayout" zoomScaleNormal="100" workbookViewId="0">
      <selection activeCell="E5" sqref="E5"/>
    </sheetView>
  </sheetViews>
  <sheetFormatPr baseColWidth="10" defaultRowHeight="15"/>
  <cols>
    <col min="1" max="1" width="27.42578125" customWidth="1"/>
    <col min="2" max="2" width="24.85546875" bestFit="1" customWidth="1"/>
    <col min="4" max="4" width="25" customWidth="1"/>
    <col min="10" max="10" width="13.7109375" customWidth="1"/>
    <col min="11" max="11" width="27.42578125" hidden="1" customWidth="1"/>
    <col min="12" max="12" width="0" hidden="1" customWidth="1"/>
    <col min="13" max="13" width="13.7109375" hidden="1" customWidth="1"/>
    <col min="14" max="19" width="0" hidden="1" customWidth="1"/>
  </cols>
  <sheetData>
    <row r="1" spans="1:18" ht="21" customHeight="1">
      <c r="A1" s="758" t="s">
        <v>639</v>
      </c>
      <c r="B1" s="758"/>
      <c r="C1" s="758"/>
      <c r="D1" s="758"/>
      <c r="E1" s="758"/>
      <c r="F1" s="758"/>
      <c r="G1" s="758"/>
      <c r="H1" s="758"/>
      <c r="I1" s="758"/>
      <c r="J1" s="758"/>
      <c r="K1" s="791" t="s">
        <v>417</v>
      </c>
      <c r="L1" s="791"/>
      <c r="M1" s="791"/>
      <c r="N1" s="791"/>
      <c r="O1" s="791"/>
      <c r="P1" s="791"/>
      <c r="Q1" s="791"/>
      <c r="R1" s="791"/>
    </row>
    <row r="2" spans="1:18" ht="21.6" customHeight="1" thickBot="1">
      <c r="A2" s="759"/>
      <c r="B2" s="759"/>
      <c r="C2" s="759"/>
      <c r="D2" s="759"/>
      <c r="E2" s="759"/>
      <c r="F2" s="759"/>
      <c r="G2" s="759"/>
      <c r="H2" s="759"/>
      <c r="I2" s="759"/>
      <c r="J2" s="759"/>
      <c r="K2" s="791"/>
      <c r="L2" s="791"/>
      <c r="M2" s="791"/>
      <c r="N2" s="791"/>
      <c r="O2" s="791"/>
      <c r="P2" s="791"/>
      <c r="Q2" s="791"/>
      <c r="R2" s="791"/>
    </row>
    <row r="3" spans="1:18" ht="21.6" customHeight="1">
      <c r="A3" s="344"/>
      <c r="B3" s="344"/>
      <c r="C3" s="344"/>
      <c r="D3" s="344"/>
      <c r="E3" s="344"/>
      <c r="F3" s="344"/>
      <c r="G3" s="344"/>
      <c r="H3" s="344"/>
      <c r="I3" s="344"/>
      <c r="K3" s="344"/>
      <c r="L3" s="344"/>
      <c r="M3" s="344"/>
      <c r="N3" s="344"/>
      <c r="O3" s="344"/>
      <c r="P3" s="344"/>
      <c r="Q3" s="344"/>
      <c r="R3" s="344"/>
    </row>
    <row r="4" spans="1:18" ht="33.75">
      <c r="A4" s="370" t="s">
        <v>449</v>
      </c>
      <c r="B4" s="371"/>
      <c r="C4" s="371"/>
      <c r="D4" s="371"/>
      <c r="E4" s="371"/>
      <c r="F4" s="371"/>
      <c r="G4" s="371"/>
      <c r="H4" s="371"/>
      <c r="I4" s="371"/>
      <c r="J4" s="369"/>
      <c r="K4" s="344"/>
      <c r="L4" s="344"/>
      <c r="M4" s="344"/>
      <c r="N4" s="344"/>
      <c r="O4" s="344"/>
      <c r="P4" s="344"/>
      <c r="Q4" s="344"/>
      <c r="R4" s="344"/>
    </row>
    <row r="5" spans="1:18" ht="21">
      <c r="A5" s="337" t="s">
        <v>632</v>
      </c>
      <c r="B5" s="362"/>
      <c r="C5" s="362"/>
      <c r="D5" s="362" t="s">
        <v>634</v>
      </c>
      <c r="E5" s="400" t="s">
        <v>25</v>
      </c>
      <c r="G5" s="391" t="str">
        <f>VLOOKUP(E5,'RICON_RICON-S-EK_GIGANT_WALCO '!V7:AB16,4,FALSE)</f>
        <v>Brettschichtholz homogen</v>
      </c>
      <c r="H5" s="391"/>
      <c r="K5" s="792" t="s">
        <v>442</v>
      </c>
      <c r="L5" s="792"/>
      <c r="M5" s="792"/>
      <c r="N5" s="792"/>
      <c r="O5" s="792"/>
      <c r="P5" s="792"/>
      <c r="Q5" s="792"/>
      <c r="R5" s="792"/>
    </row>
    <row r="6" spans="1:18" ht="18.75">
      <c r="D6" s="362" t="s">
        <v>633</v>
      </c>
      <c r="E6" s="400">
        <v>1</v>
      </c>
      <c r="G6" s="391" t="str">
        <f>VLOOKUP(E6,'RICON_RICON-S-EK_GIGANT_WALCO '!V27:AA28,3,FALSE)</f>
        <v>Innenbereich</v>
      </c>
      <c r="H6" s="392"/>
      <c r="K6" s="339" t="s">
        <v>418</v>
      </c>
    </row>
    <row r="7" spans="1:18" ht="21.6" customHeight="1">
      <c r="A7" s="344"/>
      <c r="B7" s="344"/>
      <c r="C7" s="344"/>
      <c r="D7" s="344"/>
      <c r="E7" s="344"/>
      <c r="F7" s="344"/>
      <c r="G7" s="344"/>
      <c r="H7" s="344"/>
      <c r="I7" s="344"/>
      <c r="K7" s="344"/>
      <c r="L7" s="344"/>
      <c r="M7" s="344"/>
      <c r="N7" s="344"/>
      <c r="O7" s="344"/>
      <c r="P7" s="344"/>
      <c r="Q7" s="344"/>
      <c r="R7" s="344"/>
    </row>
    <row r="9" spans="1:18" ht="18.75">
      <c r="A9" s="339"/>
      <c r="B9" s="339"/>
      <c r="K9" s="339"/>
    </row>
    <row r="10" spans="1:18" ht="18.75">
      <c r="A10" s="339"/>
      <c r="B10" s="339"/>
      <c r="K10" s="339"/>
    </row>
    <row r="11" spans="1:18" ht="18.75">
      <c r="A11" s="339"/>
      <c r="B11" s="339"/>
      <c r="K11" s="339"/>
    </row>
    <row r="12" spans="1:18" ht="18.75">
      <c r="A12" s="339"/>
      <c r="B12" s="339"/>
      <c r="K12" s="339"/>
    </row>
    <row r="13" spans="1:18" ht="18.75">
      <c r="A13" s="339"/>
      <c r="B13" s="339"/>
      <c r="K13" s="339"/>
    </row>
    <row r="14" spans="1:18" ht="18.75">
      <c r="A14" s="339"/>
      <c r="B14" s="339"/>
      <c r="K14" s="339"/>
    </row>
    <row r="15" spans="1:18" ht="18.75">
      <c r="A15" s="339"/>
      <c r="B15" s="339"/>
      <c r="K15" s="339"/>
    </row>
    <row r="16" spans="1:18" ht="18.75">
      <c r="A16" s="339"/>
      <c r="B16" s="339"/>
      <c r="K16" s="339"/>
    </row>
    <row r="17" spans="1:18" ht="18.75">
      <c r="A17" s="339"/>
      <c r="B17" s="339"/>
      <c r="K17" s="339"/>
    </row>
    <row r="18" spans="1:18" ht="21">
      <c r="A18" s="335"/>
      <c r="B18" s="335"/>
      <c r="K18" s="335" t="s">
        <v>392</v>
      </c>
    </row>
    <row r="19" spans="1:18" ht="15" customHeight="1">
      <c r="A19" s="398" t="s">
        <v>2</v>
      </c>
      <c r="B19" s="394" t="s">
        <v>581</v>
      </c>
      <c r="C19" s="790" t="s">
        <v>423</v>
      </c>
      <c r="D19" s="790"/>
      <c r="E19" s="703" t="str">
        <f>"Design values F2,Rd for "&amp;E5&amp;" [kN]"</f>
        <v>Design values F2,Rd for GL24h [kN]</v>
      </c>
      <c r="F19" s="704"/>
      <c r="G19" s="704"/>
      <c r="H19" s="704"/>
      <c r="I19" s="401" t="s">
        <v>647</v>
      </c>
      <c r="K19" s="3" t="s">
        <v>386</v>
      </c>
      <c r="L19" s="793" t="s">
        <v>423</v>
      </c>
      <c r="M19" s="793"/>
      <c r="N19" s="664" t="s">
        <v>421</v>
      </c>
      <c r="O19" s="665"/>
      <c r="P19" s="665"/>
      <c r="Q19" s="665"/>
      <c r="R19" s="666"/>
    </row>
    <row r="20" spans="1:18">
      <c r="A20" s="76"/>
      <c r="B20" s="354" t="s">
        <v>580</v>
      </c>
      <c r="C20" s="396" t="s">
        <v>384</v>
      </c>
      <c r="D20" s="396" t="s">
        <v>385</v>
      </c>
      <c r="E20" s="397">
        <v>0.6</v>
      </c>
      <c r="F20" s="397">
        <v>0.7</v>
      </c>
      <c r="G20" s="397">
        <v>0.8</v>
      </c>
      <c r="H20" s="397">
        <v>0.9</v>
      </c>
      <c r="I20" s="397">
        <v>1</v>
      </c>
      <c r="K20" s="7"/>
      <c r="L20" s="41" t="s">
        <v>384</v>
      </c>
      <c r="M20" s="41" t="s">
        <v>385</v>
      </c>
      <c r="N20" s="87">
        <v>0.6</v>
      </c>
      <c r="O20" s="87">
        <v>0.7</v>
      </c>
      <c r="P20" s="87">
        <v>0.8</v>
      </c>
      <c r="Q20" s="87">
        <v>0.9</v>
      </c>
      <c r="R20" s="87">
        <v>1</v>
      </c>
    </row>
    <row r="21" spans="1:18" ht="45">
      <c r="A21" s="269" t="s">
        <v>695</v>
      </c>
      <c r="B21" s="354" t="s">
        <v>456</v>
      </c>
      <c r="C21" s="367">
        <f>'RICON_RICON-S-EK_GIGANT_WALCO '!C274</f>
        <v>34</v>
      </c>
      <c r="D21" s="367">
        <f>'RICON_RICON-S-EK_GIGANT_WALCO '!F274</f>
        <v>37.149991394525706</v>
      </c>
      <c r="E21" s="279">
        <f t="shared" ref="E21:I26" si="0">MIN($C21/1,$D21*E$20/1.3)</f>
        <v>17.146149874396478</v>
      </c>
      <c r="F21" s="279">
        <f t="shared" si="0"/>
        <v>20.003841520129225</v>
      </c>
      <c r="G21" s="279">
        <f t="shared" si="0"/>
        <v>22.861533165861974</v>
      </c>
      <c r="H21" s="279">
        <f t="shared" si="0"/>
        <v>25.719224811594717</v>
      </c>
      <c r="I21" s="279">
        <f t="shared" si="0"/>
        <v>28.576916457327464</v>
      </c>
      <c r="K21" s="269" t="s">
        <v>351</v>
      </c>
      <c r="L21" s="279">
        <f>'RICON_RICON-S-EK_GIGANT_WALCO '!C274</f>
        <v>34</v>
      </c>
      <c r="M21" s="279">
        <f>'RICON_RICON-S-EK_GIGANT_WALCO '!F274</f>
        <v>37.149991394525706</v>
      </c>
      <c r="N21" s="279">
        <f t="shared" ref="N21:R26" si="1">MIN($C21/1,$D21*N$20/1.3)</f>
        <v>17.146149874396478</v>
      </c>
      <c r="O21" s="279">
        <f t="shared" si="1"/>
        <v>20.003841520129225</v>
      </c>
      <c r="P21" s="279">
        <f t="shared" si="1"/>
        <v>22.861533165861974</v>
      </c>
      <c r="Q21" s="279">
        <f t="shared" si="1"/>
        <v>25.719224811594717</v>
      </c>
      <c r="R21" s="279">
        <f t="shared" si="1"/>
        <v>28.576916457327464</v>
      </c>
    </row>
    <row r="22" spans="1:18" ht="45">
      <c r="A22" s="224" t="s">
        <v>696</v>
      </c>
      <c r="B22" s="352" t="s">
        <v>586</v>
      </c>
      <c r="C22" s="367">
        <f>'RICON_RICON-S-EK_GIGANT_WALCO '!C275</f>
        <v>34</v>
      </c>
      <c r="D22" s="367">
        <f>'RICON_RICON-S-EK_GIGANT_WALCO '!F275</f>
        <v>40.18125965399701</v>
      </c>
      <c r="E22" s="279">
        <f t="shared" si="0"/>
        <v>18.545196763383235</v>
      </c>
      <c r="F22" s="279">
        <f t="shared" si="0"/>
        <v>21.636062890613772</v>
      </c>
      <c r="G22" s="279">
        <f t="shared" si="0"/>
        <v>24.726929017844313</v>
      </c>
      <c r="H22" s="279">
        <f t="shared" si="0"/>
        <v>27.817795145074854</v>
      </c>
      <c r="I22" s="279">
        <f t="shared" si="0"/>
        <v>30.908661272305391</v>
      </c>
      <c r="K22" s="224" t="s">
        <v>352</v>
      </c>
      <c r="L22" s="279">
        <f>'RICON_RICON-S-EK_GIGANT_WALCO '!C275</f>
        <v>34</v>
      </c>
      <c r="M22" s="279">
        <f>'RICON_RICON-S-EK_GIGANT_WALCO '!F275</f>
        <v>40.18125965399701</v>
      </c>
      <c r="N22" s="279">
        <f t="shared" si="1"/>
        <v>18.545196763383235</v>
      </c>
      <c r="O22" s="279">
        <f t="shared" si="1"/>
        <v>21.636062890613772</v>
      </c>
      <c r="P22" s="279">
        <f t="shared" si="1"/>
        <v>24.726929017844313</v>
      </c>
      <c r="Q22" s="279">
        <f t="shared" si="1"/>
        <v>27.817795145074854</v>
      </c>
      <c r="R22" s="279">
        <f t="shared" si="1"/>
        <v>30.908661272305391</v>
      </c>
    </row>
    <row r="23" spans="1:18" ht="45">
      <c r="A23" s="224" t="s">
        <v>697</v>
      </c>
      <c r="B23" s="352" t="s">
        <v>457</v>
      </c>
      <c r="C23" s="367">
        <f>'RICON_RICON-S-EK_GIGANT_WALCO '!C277</f>
        <v>34</v>
      </c>
      <c r="D23" s="367">
        <f>'RICON_RICON-S-EK_GIGANT_WALCO '!F277</f>
        <v>56.710921194381697</v>
      </c>
      <c r="E23" s="279">
        <f t="shared" si="0"/>
        <v>26.174271320483861</v>
      </c>
      <c r="F23" s="279">
        <f t="shared" si="0"/>
        <v>30.536649873897833</v>
      </c>
      <c r="G23" s="279">
        <f t="shared" si="0"/>
        <v>34</v>
      </c>
      <c r="H23" s="279">
        <f t="shared" si="0"/>
        <v>34</v>
      </c>
      <c r="I23" s="279">
        <f t="shared" si="0"/>
        <v>34</v>
      </c>
      <c r="K23" s="224" t="s">
        <v>353</v>
      </c>
      <c r="L23" s="279">
        <f>'RICON_RICON-S-EK_GIGANT_WALCO '!C277</f>
        <v>34</v>
      </c>
      <c r="M23" s="279">
        <f>'RICON_RICON-S-EK_GIGANT_WALCO '!F277</f>
        <v>56.710921194381697</v>
      </c>
      <c r="N23" s="279">
        <f t="shared" si="1"/>
        <v>26.174271320483861</v>
      </c>
      <c r="O23" s="279">
        <f t="shared" si="1"/>
        <v>30.536649873897833</v>
      </c>
      <c r="P23" s="279">
        <f t="shared" si="1"/>
        <v>34</v>
      </c>
      <c r="Q23" s="279">
        <f t="shared" si="1"/>
        <v>34</v>
      </c>
      <c r="R23" s="279">
        <f t="shared" si="1"/>
        <v>34</v>
      </c>
    </row>
    <row r="24" spans="1:18" ht="45">
      <c r="A24" s="224" t="s">
        <v>698</v>
      </c>
      <c r="B24" s="352" t="s">
        <v>587</v>
      </c>
      <c r="C24" s="367">
        <f>'RICON_RICON-S-EK_GIGANT_WALCO '!C278</f>
        <v>34</v>
      </c>
      <c r="D24" s="367">
        <f>'RICON_RICON-S-EK_GIGANT_WALCO '!F278</f>
        <v>66.480609906200655</v>
      </c>
      <c r="E24" s="279">
        <f t="shared" si="0"/>
        <v>30.683358418246456</v>
      </c>
      <c r="F24" s="279">
        <f t="shared" si="0"/>
        <v>34</v>
      </c>
      <c r="G24" s="279">
        <f t="shared" si="0"/>
        <v>34</v>
      </c>
      <c r="H24" s="279">
        <f t="shared" si="0"/>
        <v>34</v>
      </c>
      <c r="I24" s="279">
        <f t="shared" si="0"/>
        <v>34</v>
      </c>
      <c r="K24" s="224" t="s">
        <v>354</v>
      </c>
      <c r="L24" s="279">
        <f>'RICON_RICON-S-EK_GIGANT_WALCO '!C278</f>
        <v>34</v>
      </c>
      <c r="M24" s="279">
        <f>'RICON_RICON-S-EK_GIGANT_WALCO '!F278</f>
        <v>66.480609906200655</v>
      </c>
      <c r="N24" s="279">
        <f t="shared" si="1"/>
        <v>30.683358418246456</v>
      </c>
      <c r="O24" s="279">
        <f t="shared" si="1"/>
        <v>34</v>
      </c>
      <c r="P24" s="279">
        <f t="shared" si="1"/>
        <v>34</v>
      </c>
      <c r="Q24" s="279">
        <f t="shared" si="1"/>
        <v>34</v>
      </c>
      <c r="R24" s="279">
        <f t="shared" si="1"/>
        <v>34</v>
      </c>
    </row>
    <row r="25" spans="1:18" ht="45">
      <c r="A25" s="224" t="s">
        <v>699</v>
      </c>
      <c r="B25" s="352" t="s">
        <v>466</v>
      </c>
      <c r="C25" s="367">
        <f>'RICON_RICON-S-EK_GIGANT_WALCO '!C280</f>
        <v>50</v>
      </c>
      <c r="D25" s="367">
        <f>'RICON_RICON-S-EK_GIGANT_WALCO '!F280</f>
        <v>79.124951595789881</v>
      </c>
      <c r="E25" s="279">
        <f t="shared" si="0"/>
        <v>36.519208428826097</v>
      </c>
      <c r="F25" s="279">
        <f t="shared" si="0"/>
        <v>42.605743166963784</v>
      </c>
      <c r="G25" s="279">
        <f t="shared" si="0"/>
        <v>48.692277905101463</v>
      </c>
      <c r="H25" s="279">
        <f t="shared" si="0"/>
        <v>50</v>
      </c>
      <c r="I25" s="279">
        <f t="shared" si="0"/>
        <v>50</v>
      </c>
      <c r="K25" s="224" t="s">
        <v>356</v>
      </c>
      <c r="L25" s="279">
        <f>'RICON_RICON-S-EK_GIGANT_WALCO '!C280</f>
        <v>50</v>
      </c>
      <c r="M25" s="279">
        <f>'RICON_RICON-S-EK_GIGANT_WALCO '!F280</f>
        <v>79.124951595789881</v>
      </c>
      <c r="N25" s="279">
        <f t="shared" si="1"/>
        <v>36.519208428826097</v>
      </c>
      <c r="O25" s="279">
        <f t="shared" si="1"/>
        <v>42.605743166963784</v>
      </c>
      <c r="P25" s="279">
        <f t="shared" si="1"/>
        <v>48.692277905101463</v>
      </c>
      <c r="Q25" s="279">
        <f t="shared" si="1"/>
        <v>50</v>
      </c>
      <c r="R25" s="279">
        <f t="shared" si="1"/>
        <v>50</v>
      </c>
    </row>
    <row r="26" spans="1:18" ht="45">
      <c r="A26" s="224" t="s">
        <v>700</v>
      </c>
      <c r="B26" s="352" t="s">
        <v>467</v>
      </c>
      <c r="C26" s="367">
        <f>'RICON_RICON-S-EK_GIGANT_WALCO '!C282</f>
        <v>50</v>
      </c>
      <c r="D26" s="367">
        <f>'RICON_RICON-S-EK_GIGANT_WALCO '!F282</f>
        <v>96.723603718619998</v>
      </c>
      <c r="E26" s="279">
        <f t="shared" si="0"/>
        <v>44.641663254747691</v>
      </c>
      <c r="F26" s="279">
        <f t="shared" si="0"/>
        <v>50</v>
      </c>
      <c r="G26" s="279">
        <f t="shared" si="0"/>
        <v>50</v>
      </c>
      <c r="H26" s="279">
        <f t="shared" si="0"/>
        <v>50</v>
      </c>
      <c r="I26" s="279">
        <f t="shared" si="0"/>
        <v>50</v>
      </c>
      <c r="K26" s="224" t="s">
        <v>395</v>
      </c>
      <c r="L26" s="279">
        <f>'RICON_RICON-S-EK_GIGANT_WALCO '!C282</f>
        <v>50</v>
      </c>
      <c r="M26" s="279">
        <f>'RICON_RICON-S-EK_GIGANT_WALCO '!F282</f>
        <v>96.723603718619998</v>
      </c>
      <c r="N26" s="279">
        <f t="shared" si="1"/>
        <v>44.641663254747691</v>
      </c>
      <c r="O26" s="279">
        <f t="shared" si="1"/>
        <v>50</v>
      </c>
      <c r="P26" s="279">
        <f t="shared" si="1"/>
        <v>50</v>
      </c>
      <c r="Q26" s="279">
        <f t="shared" si="1"/>
        <v>50</v>
      </c>
      <c r="R26" s="279">
        <f t="shared" si="1"/>
        <v>50</v>
      </c>
    </row>
    <row r="27" spans="1:18">
      <c r="A27" s="333"/>
      <c r="B27" s="355"/>
      <c r="C27" s="338"/>
      <c r="D27" s="338"/>
      <c r="E27" s="338"/>
      <c r="F27" s="338"/>
      <c r="G27" s="338"/>
      <c r="H27" s="338"/>
      <c r="I27" s="338"/>
      <c r="K27" s="333"/>
      <c r="L27" s="338"/>
      <c r="M27" s="338"/>
      <c r="N27" s="338"/>
      <c r="O27" s="338"/>
      <c r="P27" s="338"/>
      <c r="Q27" s="338"/>
      <c r="R27" s="338"/>
    </row>
    <row r="28" spans="1:18">
      <c r="A28" s="333"/>
      <c r="B28" s="355"/>
      <c r="C28" s="338"/>
      <c r="D28" s="338"/>
      <c r="E28" s="338"/>
      <c r="F28" s="338"/>
      <c r="G28" s="338"/>
      <c r="H28" s="338"/>
      <c r="I28" s="338"/>
      <c r="K28" s="333"/>
      <c r="L28" s="338"/>
      <c r="M28" s="338"/>
      <c r="N28" s="338"/>
      <c r="O28" s="338"/>
      <c r="P28" s="338"/>
      <c r="Q28" s="338"/>
      <c r="R28" s="338"/>
    </row>
    <row r="29" spans="1:18">
      <c r="A29" s="333"/>
      <c r="B29" s="355"/>
      <c r="C29" s="338"/>
      <c r="D29" s="338"/>
      <c r="E29" s="338"/>
      <c r="F29" s="338"/>
      <c r="G29" s="338"/>
      <c r="H29" s="338"/>
      <c r="I29" s="338"/>
      <c r="K29" s="333"/>
      <c r="L29" s="338"/>
      <c r="M29" s="338"/>
      <c r="N29" s="338"/>
      <c r="O29" s="338"/>
      <c r="P29" s="338"/>
      <c r="Q29" s="338"/>
      <c r="R29" s="338"/>
    </row>
    <row r="30" spans="1:18">
      <c r="A30" s="333"/>
      <c r="B30" s="355"/>
      <c r="C30" s="338"/>
      <c r="D30" s="338"/>
      <c r="E30" s="338"/>
      <c r="F30" s="338"/>
      <c r="G30" s="338"/>
      <c r="H30" s="338"/>
      <c r="I30" s="338"/>
      <c r="K30" s="333"/>
      <c r="L30" s="338"/>
      <c r="M30" s="338"/>
      <c r="N30" s="338"/>
      <c r="O30" s="338"/>
      <c r="P30" s="338"/>
      <c r="Q30" s="338"/>
      <c r="R30" s="338"/>
    </row>
    <row r="31" spans="1:18">
      <c r="A31" s="333"/>
      <c r="B31" s="355"/>
      <c r="C31" s="338"/>
      <c r="D31" s="338"/>
      <c r="E31" s="338"/>
      <c r="F31" s="338"/>
      <c r="G31" s="338"/>
      <c r="H31" s="338"/>
      <c r="I31" s="338"/>
      <c r="K31" s="333"/>
      <c r="L31" s="338"/>
      <c r="M31" s="338"/>
      <c r="N31" s="338"/>
      <c r="O31" s="338"/>
      <c r="P31" s="338"/>
      <c r="Q31" s="338"/>
      <c r="R31" s="338"/>
    </row>
    <row r="32" spans="1:18" ht="33.75">
      <c r="A32" s="370" t="s">
        <v>450</v>
      </c>
      <c r="B32" s="371"/>
      <c r="C32" s="371"/>
      <c r="D32" s="371"/>
      <c r="E32" s="371"/>
      <c r="F32" s="371"/>
      <c r="G32" s="371"/>
      <c r="H32" s="371"/>
      <c r="I32" s="371"/>
      <c r="J32" s="369"/>
      <c r="K32" s="333"/>
      <c r="L32" s="338"/>
      <c r="M32" s="338"/>
      <c r="N32" s="338"/>
      <c r="O32" s="338"/>
      <c r="P32" s="338"/>
      <c r="Q32" s="338"/>
      <c r="R32" s="338"/>
    </row>
    <row r="33" spans="1:18" ht="21">
      <c r="A33" s="337" t="s">
        <v>646</v>
      </c>
      <c r="B33" s="362"/>
      <c r="C33" s="362"/>
      <c r="D33" s="362" t="s">
        <v>634</v>
      </c>
      <c r="E33" s="400" t="s">
        <v>25</v>
      </c>
      <c r="G33" s="391" t="str">
        <f>VLOOKUP(E33,'RICON_RICON-S-EK_GIGANT_WALCO '!V7:AB16,4,FALSE)</f>
        <v>Brettschichtholz homogen</v>
      </c>
      <c r="H33" s="391"/>
      <c r="K33" s="792" t="s">
        <v>442</v>
      </c>
      <c r="L33" s="792"/>
      <c r="M33" s="792"/>
      <c r="N33" s="792"/>
      <c r="O33" s="792"/>
      <c r="P33" s="792"/>
      <c r="Q33" s="792"/>
      <c r="R33" s="792"/>
    </row>
    <row r="34" spans="1:18" ht="18.75">
      <c r="D34" s="362" t="s">
        <v>633</v>
      </c>
      <c r="E34" s="400">
        <v>1</v>
      </c>
      <c r="G34" s="391" t="str">
        <f>VLOOKUP(E34,'RICON_RICON-S-EK_GIGANT_WALCO '!V27:AA28,3,FALSE)</f>
        <v>Innenbereich</v>
      </c>
      <c r="H34" s="392"/>
      <c r="K34" s="339" t="s">
        <v>418</v>
      </c>
    </row>
    <row r="35" spans="1:18" ht="18.75">
      <c r="A35" s="339"/>
      <c r="B35" s="339"/>
      <c r="K35" s="339"/>
    </row>
    <row r="36" spans="1:18" ht="18.75">
      <c r="A36" s="339"/>
      <c r="B36" s="339"/>
      <c r="K36" s="339"/>
    </row>
    <row r="37" spans="1:18" ht="18.75">
      <c r="A37" s="339"/>
      <c r="B37" s="339"/>
      <c r="K37" s="339"/>
    </row>
    <row r="38" spans="1:18" ht="18.75">
      <c r="A38" s="339"/>
      <c r="B38" s="339"/>
      <c r="K38" s="339"/>
    </row>
    <row r="39" spans="1:18" ht="18.75">
      <c r="A39" s="339"/>
      <c r="B39" s="339"/>
      <c r="K39" s="339"/>
    </row>
    <row r="40" spans="1:18" ht="18.75">
      <c r="A40" s="339"/>
      <c r="B40" s="339"/>
      <c r="K40" s="339"/>
    </row>
    <row r="41" spans="1:18" ht="18.75">
      <c r="A41" s="339"/>
      <c r="B41" s="339"/>
      <c r="K41" s="339"/>
    </row>
    <row r="42" spans="1:18" ht="18.75">
      <c r="A42" s="339"/>
      <c r="B42" s="339"/>
      <c r="K42" s="339"/>
    </row>
    <row r="43" spans="1:18" ht="18.75">
      <c r="A43" s="339"/>
      <c r="B43" s="339"/>
      <c r="K43" s="339"/>
    </row>
    <row r="44" spans="1:18" ht="18.75">
      <c r="A44" s="339"/>
      <c r="B44" s="339"/>
      <c r="K44" s="339"/>
    </row>
    <row r="45" spans="1:18" ht="18.75">
      <c r="A45" s="339"/>
      <c r="B45" s="339"/>
      <c r="K45" s="339"/>
    </row>
    <row r="46" spans="1:18" ht="18.75">
      <c r="A46" s="339"/>
      <c r="B46" s="339"/>
      <c r="K46" s="339"/>
    </row>
    <row r="47" spans="1:18" ht="21">
      <c r="A47" s="334"/>
      <c r="B47" s="334"/>
      <c r="E47" s="2"/>
      <c r="F47" s="2"/>
      <c r="G47" s="2"/>
      <c r="H47" s="2"/>
      <c r="K47" s="334" t="s">
        <v>393</v>
      </c>
    </row>
    <row r="48" spans="1:18" ht="15" customHeight="1">
      <c r="A48" s="398" t="s">
        <v>2</v>
      </c>
      <c r="B48" s="394" t="s">
        <v>581</v>
      </c>
      <c r="C48" s="790" t="s">
        <v>423</v>
      </c>
      <c r="D48" s="790"/>
      <c r="E48" s="703" t="str">
        <f>"Design values F2,Rd for "&amp;E33&amp;" [kN]"</f>
        <v>Design values F2,Rd for GL24h [kN]</v>
      </c>
      <c r="F48" s="704"/>
      <c r="G48" s="704"/>
      <c r="H48" s="704"/>
      <c r="I48" s="401" t="s">
        <v>647</v>
      </c>
      <c r="K48" s="3" t="s">
        <v>386</v>
      </c>
      <c r="L48" s="793" t="s">
        <v>423</v>
      </c>
      <c r="M48" s="793"/>
      <c r="N48" s="664" t="s">
        <v>421</v>
      </c>
      <c r="O48" s="665"/>
      <c r="P48" s="665"/>
      <c r="Q48" s="665"/>
      <c r="R48" s="666"/>
    </row>
    <row r="49" spans="1:18" ht="31.5" customHeight="1">
      <c r="A49" s="76"/>
      <c r="B49" s="354" t="s">
        <v>580</v>
      </c>
      <c r="C49" s="396" t="s">
        <v>384</v>
      </c>
      <c r="D49" s="396" t="s">
        <v>385</v>
      </c>
      <c r="E49" s="397">
        <v>0.6</v>
      </c>
      <c r="F49" s="397">
        <v>0.7</v>
      </c>
      <c r="G49" s="397">
        <v>0.8</v>
      </c>
      <c r="H49" s="397">
        <v>0.9</v>
      </c>
      <c r="I49" s="397">
        <v>1</v>
      </c>
      <c r="K49" s="7"/>
      <c r="L49" s="41" t="s">
        <v>384</v>
      </c>
      <c r="M49" s="41" t="s">
        <v>385</v>
      </c>
      <c r="N49" s="87">
        <v>0.6</v>
      </c>
      <c r="O49" s="87">
        <v>0.7</v>
      </c>
      <c r="P49" s="87">
        <v>0.8</v>
      </c>
      <c r="Q49" s="87">
        <v>0.9</v>
      </c>
      <c r="R49" s="87">
        <v>1</v>
      </c>
    </row>
    <row r="50" spans="1:18" ht="45">
      <c r="A50" s="224" t="s">
        <v>684</v>
      </c>
      <c r="B50" s="352" t="s">
        <v>456</v>
      </c>
      <c r="C50" s="367">
        <f>'RICON-S-VS'!C90</f>
        <v>60</v>
      </c>
      <c r="D50" s="367">
        <f>'RICON-S-VS'!F90</f>
        <v>37.092120892934879</v>
      </c>
      <c r="E50" s="279">
        <f>MIN($C50/1,$D50*E$49/1.3)</f>
        <v>17.11944041212379</v>
      </c>
      <c r="F50" s="279">
        <f t="shared" ref="F50:I59" si="2">MIN($C50/1,$D50*F$49/1.3)</f>
        <v>19.972680480811086</v>
      </c>
      <c r="G50" s="279">
        <f t="shared" si="2"/>
        <v>22.825920549498388</v>
      </c>
      <c r="H50" s="279">
        <f t="shared" si="2"/>
        <v>25.679160618185687</v>
      </c>
      <c r="I50" s="279">
        <f t="shared" si="2"/>
        <v>28.532400686872982</v>
      </c>
      <c r="K50" s="224" t="s">
        <v>281</v>
      </c>
      <c r="L50" s="279">
        <f>'RICON-S-VS'!C90</f>
        <v>60</v>
      </c>
      <c r="M50" s="279">
        <f>'RICON-S-VS'!F90</f>
        <v>37.092120892934879</v>
      </c>
      <c r="N50" s="279">
        <f>MIN($C50/1,$D50*N$49/1.3)</f>
        <v>17.11944041212379</v>
      </c>
      <c r="O50" s="279">
        <f t="shared" ref="O50:R59" si="3">MIN($C50/1,$D50*O$49/1.3)</f>
        <v>19.972680480811086</v>
      </c>
      <c r="P50" s="279">
        <f t="shared" si="3"/>
        <v>22.825920549498388</v>
      </c>
      <c r="Q50" s="279">
        <f t="shared" si="3"/>
        <v>25.679160618185687</v>
      </c>
      <c r="R50" s="279">
        <f t="shared" si="3"/>
        <v>28.532400686872982</v>
      </c>
    </row>
    <row r="51" spans="1:18" ht="45">
      <c r="A51" s="224" t="s">
        <v>685</v>
      </c>
      <c r="B51" s="352" t="s">
        <v>458</v>
      </c>
      <c r="C51" s="367">
        <f>'RICON-S-VS'!C91</f>
        <v>60</v>
      </c>
      <c r="D51" s="367">
        <f>'RICON-S-VS'!F91</f>
        <v>40.18125965399701</v>
      </c>
      <c r="E51" s="279">
        <f t="shared" ref="E51:E59" si="4">MIN($C51/1,$D51*E$49/1.3)</f>
        <v>18.545196763383235</v>
      </c>
      <c r="F51" s="279">
        <f t="shared" si="2"/>
        <v>21.636062890613772</v>
      </c>
      <c r="G51" s="279">
        <f t="shared" si="2"/>
        <v>24.726929017844313</v>
      </c>
      <c r="H51" s="279">
        <f t="shared" si="2"/>
        <v>27.817795145074854</v>
      </c>
      <c r="I51" s="279">
        <f t="shared" si="2"/>
        <v>30.908661272305391</v>
      </c>
      <c r="K51" s="224" t="s">
        <v>282</v>
      </c>
      <c r="L51" s="279">
        <f>'RICON-S-VS'!C91</f>
        <v>60</v>
      </c>
      <c r="M51" s="279">
        <f>'RICON-S-VS'!F91</f>
        <v>40.18125965399701</v>
      </c>
      <c r="N51" s="279">
        <f t="shared" ref="N51:N59" si="5">MIN($C51/1,$D51*N$49/1.3)</f>
        <v>18.545196763383235</v>
      </c>
      <c r="O51" s="279">
        <f t="shared" si="3"/>
        <v>21.636062890613772</v>
      </c>
      <c r="P51" s="279">
        <f t="shared" si="3"/>
        <v>24.726929017844313</v>
      </c>
      <c r="Q51" s="279">
        <f t="shared" si="3"/>
        <v>27.817795145074854</v>
      </c>
      <c r="R51" s="279">
        <f t="shared" si="3"/>
        <v>30.908661272305391</v>
      </c>
    </row>
    <row r="52" spans="1:18" ht="45">
      <c r="A52" s="224" t="s">
        <v>686</v>
      </c>
      <c r="B52" s="352" t="s">
        <v>457</v>
      </c>
      <c r="C52" s="367">
        <f>'RICON-S-VS'!C93</f>
        <v>60</v>
      </c>
      <c r="D52" s="367">
        <f>'RICON-S-VS'!F93</f>
        <v>56.622579600426967</v>
      </c>
      <c r="E52" s="279">
        <f t="shared" si="4"/>
        <v>26.13349827712014</v>
      </c>
      <c r="F52" s="279">
        <f t="shared" si="2"/>
        <v>30.489081323306827</v>
      </c>
      <c r="G52" s="279">
        <f t="shared" si="2"/>
        <v>34.844664369493522</v>
      </c>
      <c r="H52" s="279">
        <f t="shared" si="2"/>
        <v>39.200247415680209</v>
      </c>
      <c r="I52" s="279">
        <f t="shared" si="2"/>
        <v>43.555830461866897</v>
      </c>
      <c r="K52" s="224" t="s">
        <v>283</v>
      </c>
      <c r="L52" s="279">
        <f>'RICON-S-VS'!C93</f>
        <v>60</v>
      </c>
      <c r="M52" s="279">
        <f>'RICON-S-VS'!F93</f>
        <v>56.622579600426967</v>
      </c>
      <c r="N52" s="279">
        <f t="shared" si="5"/>
        <v>26.13349827712014</v>
      </c>
      <c r="O52" s="279">
        <f t="shared" si="3"/>
        <v>30.489081323306827</v>
      </c>
      <c r="P52" s="279">
        <f t="shared" si="3"/>
        <v>34.844664369493522</v>
      </c>
      <c r="Q52" s="279">
        <f t="shared" si="3"/>
        <v>39.200247415680209</v>
      </c>
      <c r="R52" s="279">
        <f t="shared" si="3"/>
        <v>43.555830461866897</v>
      </c>
    </row>
    <row r="53" spans="1:18" ht="45">
      <c r="A53" s="224" t="s">
        <v>687</v>
      </c>
      <c r="B53" s="352" t="s">
        <v>468</v>
      </c>
      <c r="C53" s="367">
        <f>'RICON-S-VS'!C94</f>
        <v>60</v>
      </c>
      <c r="D53" s="367">
        <f>'RICON-S-VS'!F94</f>
        <v>66.480609906200655</v>
      </c>
      <c r="E53" s="279">
        <f t="shared" si="4"/>
        <v>30.683358418246456</v>
      </c>
      <c r="F53" s="279">
        <f t="shared" si="2"/>
        <v>35.797251487954192</v>
      </c>
      <c r="G53" s="279">
        <f t="shared" si="2"/>
        <v>40.911144557661942</v>
      </c>
      <c r="H53" s="279">
        <f t="shared" si="2"/>
        <v>46.025037627369684</v>
      </c>
      <c r="I53" s="279">
        <f t="shared" si="2"/>
        <v>51.138930697077427</v>
      </c>
      <c r="K53" s="224" t="s">
        <v>284</v>
      </c>
      <c r="L53" s="279">
        <f>'RICON-S-VS'!C94</f>
        <v>60</v>
      </c>
      <c r="M53" s="279">
        <f>'RICON-S-VS'!F94</f>
        <v>66.480609906200655</v>
      </c>
      <c r="N53" s="279">
        <f t="shared" si="5"/>
        <v>30.683358418246456</v>
      </c>
      <c r="O53" s="279">
        <f t="shared" si="3"/>
        <v>35.797251487954192</v>
      </c>
      <c r="P53" s="279">
        <f t="shared" si="3"/>
        <v>40.911144557661942</v>
      </c>
      <c r="Q53" s="279">
        <f t="shared" si="3"/>
        <v>46.025037627369684</v>
      </c>
      <c r="R53" s="279">
        <f t="shared" si="3"/>
        <v>51.138930697077427</v>
      </c>
    </row>
    <row r="54" spans="1:18" ht="45">
      <c r="A54" s="224" t="s">
        <v>688</v>
      </c>
      <c r="B54" s="352" t="s">
        <v>466</v>
      </c>
      <c r="C54" s="367">
        <f>'RICON-S-VS'!C96</f>
        <v>99</v>
      </c>
      <c r="D54" s="367">
        <f>'RICON-S-VS'!F96</f>
        <v>78.998593590946925</v>
      </c>
      <c r="E54" s="279">
        <f t="shared" si="4"/>
        <v>36.460889349667809</v>
      </c>
      <c r="F54" s="279">
        <f t="shared" si="2"/>
        <v>42.537704241279108</v>
      </c>
      <c r="G54" s="279">
        <f t="shared" si="2"/>
        <v>48.614519132890415</v>
      </c>
      <c r="H54" s="279">
        <f t="shared" si="2"/>
        <v>54.691334024501714</v>
      </c>
      <c r="I54" s="279">
        <f t="shared" si="2"/>
        <v>60.76814891611302</v>
      </c>
      <c r="K54" s="224" t="s">
        <v>286</v>
      </c>
      <c r="L54" s="279">
        <f>'RICON-S-VS'!C96</f>
        <v>99</v>
      </c>
      <c r="M54" s="279">
        <f>'RICON-S-VS'!F96</f>
        <v>78.998593590946925</v>
      </c>
      <c r="N54" s="279">
        <f t="shared" si="5"/>
        <v>36.460889349667809</v>
      </c>
      <c r="O54" s="279">
        <f t="shared" si="3"/>
        <v>42.537704241279108</v>
      </c>
      <c r="P54" s="279">
        <f t="shared" si="3"/>
        <v>48.614519132890415</v>
      </c>
      <c r="Q54" s="279">
        <f t="shared" si="3"/>
        <v>54.691334024501714</v>
      </c>
      <c r="R54" s="279">
        <f t="shared" si="3"/>
        <v>60.76814891611302</v>
      </c>
    </row>
    <row r="55" spans="1:18" ht="45">
      <c r="A55" s="224" t="s">
        <v>689</v>
      </c>
      <c r="B55" s="352" t="s">
        <v>469</v>
      </c>
      <c r="C55" s="367">
        <f>'RICON-S-VS'!C97</f>
        <v>99</v>
      </c>
      <c r="D55" s="367">
        <f>'RICON-S-VS'!F97</f>
        <v>92.415567140008505</v>
      </c>
      <c r="E55" s="279">
        <f t="shared" si="4"/>
        <v>42.653338680003927</v>
      </c>
      <c r="F55" s="279">
        <f t="shared" si="2"/>
        <v>49.762228460004579</v>
      </c>
      <c r="G55" s="279">
        <f t="shared" si="2"/>
        <v>56.871118240005231</v>
      </c>
      <c r="H55" s="279">
        <f t="shared" si="2"/>
        <v>63.980008020005883</v>
      </c>
      <c r="I55" s="279">
        <f t="shared" si="2"/>
        <v>71.088897800006535</v>
      </c>
      <c r="K55" s="224" t="s">
        <v>288</v>
      </c>
      <c r="L55" s="279">
        <f>'RICON-S-VS'!C97</f>
        <v>99</v>
      </c>
      <c r="M55" s="279">
        <f>'RICON-S-VS'!F97</f>
        <v>92.415567140008505</v>
      </c>
      <c r="N55" s="279">
        <f t="shared" si="5"/>
        <v>42.653338680003927</v>
      </c>
      <c r="O55" s="279">
        <f t="shared" si="3"/>
        <v>49.762228460004579</v>
      </c>
      <c r="P55" s="279">
        <f t="shared" si="3"/>
        <v>56.871118240005231</v>
      </c>
      <c r="Q55" s="279">
        <f t="shared" si="3"/>
        <v>63.980008020005883</v>
      </c>
      <c r="R55" s="279">
        <f t="shared" si="3"/>
        <v>71.088897800006535</v>
      </c>
    </row>
    <row r="56" spans="1:18" ht="45">
      <c r="A56" s="224" t="s">
        <v>690</v>
      </c>
      <c r="B56" s="352" t="s">
        <v>467</v>
      </c>
      <c r="C56" s="367">
        <f>'RICON-S-VS'!C99</f>
        <v>99</v>
      </c>
      <c r="D56" s="367">
        <f>'RICON-S-VS'!F99</f>
        <v>118.04766009468641</v>
      </c>
      <c r="E56" s="279">
        <f t="shared" si="4"/>
        <v>54.483535428316806</v>
      </c>
      <c r="F56" s="279">
        <f t="shared" si="2"/>
        <v>63.564124666369601</v>
      </c>
      <c r="G56" s="279">
        <f t="shared" si="2"/>
        <v>72.644713904422403</v>
      </c>
      <c r="H56" s="279">
        <f t="shared" si="2"/>
        <v>81.725303142475198</v>
      </c>
      <c r="I56" s="279">
        <f t="shared" si="2"/>
        <v>90.805892380528007</v>
      </c>
      <c r="K56" s="224" t="s">
        <v>290</v>
      </c>
      <c r="L56" s="279">
        <f>'RICON-S-VS'!C99</f>
        <v>99</v>
      </c>
      <c r="M56" s="279">
        <f>'RICON-S-VS'!F99</f>
        <v>118.04766009468641</v>
      </c>
      <c r="N56" s="279">
        <f t="shared" si="5"/>
        <v>54.483535428316806</v>
      </c>
      <c r="O56" s="279">
        <f t="shared" si="3"/>
        <v>63.564124666369601</v>
      </c>
      <c r="P56" s="279">
        <f t="shared" si="3"/>
        <v>72.644713904422403</v>
      </c>
      <c r="Q56" s="279">
        <f t="shared" si="3"/>
        <v>81.725303142475198</v>
      </c>
      <c r="R56" s="279">
        <f t="shared" si="3"/>
        <v>90.805892380528007</v>
      </c>
    </row>
    <row r="57" spans="1:18" ht="45">
      <c r="A57" s="224" t="s">
        <v>691</v>
      </c>
      <c r="B57" s="352" t="s">
        <v>470</v>
      </c>
      <c r="C57" s="367">
        <f>'RICON-S-VS'!C100</f>
        <v>99</v>
      </c>
      <c r="D57" s="367">
        <f>'RICON-S-VS'!F100</f>
        <v>142.69127424794846</v>
      </c>
      <c r="E57" s="279">
        <f t="shared" si="4"/>
        <v>65.857511191360828</v>
      </c>
      <c r="F57" s="279">
        <f t="shared" si="2"/>
        <v>76.833763056587628</v>
      </c>
      <c r="G57" s="279">
        <f t="shared" si="2"/>
        <v>87.810014921814428</v>
      </c>
      <c r="H57" s="279">
        <f t="shared" si="2"/>
        <v>98.786266787041242</v>
      </c>
      <c r="I57" s="279">
        <f t="shared" si="2"/>
        <v>99</v>
      </c>
      <c r="K57" s="224" t="s">
        <v>291</v>
      </c>
      <c r="L57" s="279">
        <f>'RICON-S-VS'!C100</f>
        <v>99</v>
      </c>
      <c r="M57" s="279">
        <f>'RICON-S-VS'!F100</f>
        <v>142.69127424794846</v>
      </c>
      <c r="N57" s="279">
        <f t="shared" si="5"/>
        <v>65.857511191360828</v>
      </c>
      <c r="O57" s="279">
        <f t="shared" si="3"/>
        <v>76.833763056587628</v>
      </c>
      <c r="P57" s="279">
        <f t="shared" si="3"/>
        <v>87.810014921814428</v>
      </c>
      <c r="Q57" s="279">
        <f t="shared" si="3"/>
        <v>98.786266787041242</v>
      </c>
      <c r="R57" s="279">
        <f t="shared" si="3"/>
        <v>99</v>
      </c>
    </row>
    <row r="58" spans="1:18" ht="45">
      <c r="A58" s="224" t="s">
        <v>692</v>
      </c>
      <c r="B58" s="352" t="s">
        <v>694</v>
      </c>
      <c r="C58" s="367">
        <f>'RICON-S-VS'!C102</f>
        <v>180</v>
      </c>
      <c r="D58" s="367">
        <f>'RICON-S-VS'!F102</f>
        <v>170.55707715016831</v>
      </c>
      <c r="E58" s="279">
        <f t="shared" si="4"/>
        <v>78.718650992385363</v>
      </c>
      <c r="F58" s="279">
        <f t="shared" si="2"/>
        <v>91.838426157782934</v>
      </c>
      <c r="G58" s="279">
        <f t="shared" si="2"/>
        <v>104.9582013231805</v>
      </c>
      <c r="H58" s="279">
        <f t="shared" si="2"/>
        <v>118.07797648857806</v>
      </c>
      <c r="I58" s="279">
        <f t="shared" si="2"/>
        <v>131.19775165397562</v>
      </c>
      <c r="K58" s="224" t="s">
        <v>301</v>
      </c>
      <c r="L58" s="279">
        <f>'RICON-S-VS'!C102</f>
        <v>180</v>
      </c>
      <c r="M58" s="279">
        <f>'RICON-S-VS'!F102</f>
        <v>170.55707715016831</v>
      </c>
      <c r="N58" s="279">
        <f t="shared" si="5"/>
        <v>78.718650992385363</v>
      </c>
      <c r="O58" s="279">
        <f t="shared" si="3"/>
        <v>91.838426157782934</v>
      </c>
      <c r="P58" s="279">
        <f t="shared" si="3"/>
        <v>104.9582013231805</v>
      </c>
      <c r="Q58" s="279">
        <f t="shared" si="3"/>
        <v>118.07797648857806</v>
      </c>
      <c r="R58" s="279">
        <f t="shared" si="3"/>
        <v>131.19775165397562</v>
      </c>
    </row>
    <row r="59" spans="1:18" ht="45">
      <c r="A59" s="224" t="s">
        <v>693</v>
      </c>
      <c r="B59" s="352" t="s">
        <v>588</v>
      </c>
      <c r="C59" s="367">
        <f>'RICON-S-VS'!C103</f>
        <v>180</v>
      </c>
      <c r="D59" s="367">
        <f>'RICON-S-VS'!F103</f>
        <v>195.31191951462577</v>
      </c>
      <c r="E59" s="279">
        <f t="shared" si="4"/>
        <v>90.143962852904195</v>
      </c>
      <c r="F59" s="279">
        <f t="shared" si="2"/>
        <v>105.16795666172155</v>
      </c>
      <c r="G59" s="279">
        <f t="shared" si="2"/>
        <v>120.19195047053894</v>
      </c>
      <c r="H59" s="279">
        <f t="shared" si="2"/>
        <v>135.21594427935631</v>
      </c>
      <c r="I59" s="279">
        <f t="shared" si="2"/>
        <v>150.23993808817366</v>
      </c>
      <c r="K59" s="224" t="s">
        <v>292</v>
      </c>
      <c r="L59" s="279">
        <f>'RICON-S-VS'!C103</f>
        <v>180</v>
      </c>
      <c r="M59" s="279">
        <f>'RICON-S-VS'!F103</f>
        <v>195.31191951462577</v>
      </c>
      <c r="N59" s="279">
        <f t="shared" si="5"/>
        <v>90.143962852904195</v>
      </c>
      <c r="O59" s="279">
        <f t="shared" si="3"/>
        <v>105.16795666172155</v>
      </c>
      <c r="P59" s="279">
        <f t="shared" si="3"/>
        <v>120.19195047053894</v>
      </c>
      <c r="Q59" s="279">
        <f t="shared" si="3"/>
        <v>135.21594427935631</v>
      </c>
      <c r="R59" s="279">
        <f t="shared" si="3"/>
        <v>150.23993808817366</v>
      </c>
    </row>
    <row r="60" spans="1:18">
      <c r="A60" s="333"/>
      <c r="B60" s="355"/>
      <c r="C60" s="338"/>
      <c r="D60" s="338"/>
      <c r="E60" s="338"/>
      <c r="F60" s="338"/>
      <c r="G60" s="338"/>
      <c r="H60" s="338"/>
      <c r="I60" s="338"/>
      <c r="K60" s="333"/>
      <c r="L60" s="338"/>
      <c r="M60" s="338"/>
      <c r="N60" s="338"/>
      <c r="O60" s="338"/>
      <c r="P60" s="338"/>
      <c r="Q60" s="338"/>
      <c r="R60" s="338"/>
    </row>
    <row r="61" spans="1:18">
      <c r="A61" s="333"/>
      <c r="B61" s="355"/>
      <c r="C61" s="338"/>
      <c r="D61" s="338"/>
      <c r="E61" s="338"/>
      <c r="F61" s="338"/>
      <c r="G61" s="338"/>
      <c r="H61" s="338"/>
      <c r="I61" s="338"/>
      <c r="K61" s="333"/>
      <c r="L61" s="338"/>
      <c r="M61" s="338"/>
      <c r="N61" s="338"/>
      <c r="O61" s="338"/>
      <c r="P61" s="338"/>
      <c r="Q61" s="338"/>
      <c r="R61" s="338"/>
    </row>
    <row r="62" spans="1:18">
      <c r="A62" s="333"/>
      <c r="B62" s="355"/>
      <c r="C62" s="338"/>
      <c r="D62" s="338"/>
      <c r="E62" s="338"/>
      <c r="F62" s="338"/>
      <c r="G62" s="338"/>
      <c r="H62" s="338"/>
      <c r="I62" s="338"/>
      <c r="K62" s="333"/>
      <c r="L62" s="338"/>
      <c r="M62" s="338"/>
      <c r="N62" s="338"/>
      <c r="O62" s="338"/>
      <c r="P62" s="338"/>
      <c r="Q62" s="338"/>
      <c r="R62" s="338"/>
    </row>
    <row r="63" spans="1:18">
      <c r="A63" s="333"/>
      <c r="B63" s="355"/>
      <c r="C63" s="338"/>
      <c r="D63" s="338"/>
      <c r="E63" s="338"/>
      <c r="F63" s="338"/>
      <c r="G63" s="338"/>
      <c r="H63" s="338"/>
      <c r="I63" s="338"/>
      <c r="K63" s="333"/>
      <c r="L63" s="338"/>
      <c r="M63" s="338"/>
      <c r="N63" s="338"/>
      <c r="O63" s="338"/>
      <c r="P63" s="338"/>
      <c r="Q63" s="338"/>
      <c r="R63" s="338"/>
    </row>
    <row r="64" spans="1:18">
      <c r="A64" s="333"/>
      <c r="B64" s="355"/>
      <c r="C64" s="338"/>
      <c r="D64" s="338"/>
      <c r="E64" s="338"/>
      <c r="F64" s="338"/>
      <c r="G64" s="338"/>
      <c r="H64" s="338"/>
      <c r="I64" s="338"/>
      <c r="K64" s="333"/>
      <c r="L64" s="338"/>
      <c r="M64" s="338"/>
      <c r="N64" s="338"/>
      <c r="O64" s="338"/>
      <c r="P64" s="338"/>
      <c r="Q64" s="338"/>
      <c r="R64" s="338"/>
    </row>
    <row r="65" spans="1:18">
      <c r="A65" s="333"/>
      <c r="B65" s="355"/>
      <c r="C65" s="338"/>
      <c r="D65" s="338"/>
      <c r="E65" s="338"/>
      <c r="F65" s="338"/>
      <c r="G65" s="338"/>
      <c r="H65" s="338"/>
      <c r="I65" s="338"/>
      <c r="K65" s="333"/>
      <c r="L65" s="338"/>
      <c r="M65" s="338"/>
      <c r="N65" s="338"/>
      <c r="O65" s="338"/>
      <c r="P65" s="338"/>
      <c r="Q65" s="338"/>
      <c r="R65" s="338"/>
    </row>
    <row r="66" spans="1:18">
      <c r="A66" s="333"/>
      <c r="B66" s="355"/>
      <c r="C66" s="338"/>
      <c r="D66" s="338"/>
      <c r="E66" s="338"/>
      <c r="F66" s="338"/>
      <c r="G66" s="338"/>
      <c r="H66" s="338"/>
      <c r="I66" s="338"/>
      <c r="K66" s="333"/>
      <c r="L66" s="338"/>
      <c r="M66" s="338"/>
      <c r="N66" s="338"/>
      <c r="O66" s="338"/>
      <c r="P66" s="338"/>
      <c r="Q66" s="338"/>
      <c r="R66" s="338"/>
    </row>
    <row r="67" spans="1:18">
      <c r="A67" s="333"/>
      <c r="B67" s="355"/>
      <c r="C67" s="338"/>
      <c r="D67" s="338"/>
      <c r="E67" s="338"/>
      <c r="F67" s="338"/>
      <c r="G67" s="338"/>
      <c r="H67" s="338"/>
      <c r="I67" s="338"/>
      <c r="K67" s="333"/>
      <c r="L67" s="338"/>
      <c r="M67" s="338"/>
      <c r="N67" s="338"/>
      <c r="O67" s="338"/>
      <c r="P67" s="338"/>
      <c r="Q67" s="338"/>
      <c r="R67" s="338"/>
    </row>
    <row r="68" spans="1:18">
      <c r="A68" s="333"/>
      <c r="B68" s="355"/>
      <c r="C68" s="338"/>
      <c r="D68" s="338"/>
      <c r="E68" s="338"/>
      <c r="F68" s="338"/>
      <c r="G68" s="338"/>
      <c r="H68" s="338"/>
      <c r="I68" s="338"/>
      <c r="K68" s="333"/>
      <c r="L68" s="338"/>
      <c r="M68" s="338"/>
      <c r="N68" s="338"/>
      <c r="O68" s="338"/>
      <c r="P68" s="338"/>
      <c r="Q68" s="338"/>
      <c r="R68" s="338"/>
    </row>
    <row r="69" spans="1:18">
      <c r="A69" s="333"/>
      <c r="B69" s="355"/>
      <c r="C69" s="338"/>
      <c r="D69" s="338"/>
      <c r="E69" s="338"/>
      <c r="F69" s="338"/>
      <c r="G69" s="338"/>
      <c r="H69" s="338"/>
      <c r="I69" s="338"/>
      <c r="K69" s="333"/>
      <c r="L69" s="338"/>
      <c r="M69" s="338"/>
      <c r="N69" s="338"/>
      <c r="O69" s="338"/>
      <c r="P69" s="338"/>
      <c r="Q69" s="338"/>
      <c r="R69" s="338"/>
    </row>
  </sheetData>
  <sheetProtection password="D94A" sheet="1" objects="1" scenarios="1" selectLockedCells="1"/>
  <mergeCells count="12">
    <mergeCell ref="K33:R33"/>
    <mergeCell ref="C48:D48"/>
    <mergeCell ref="L48:M48"/>
    <mergeCell ref="N48:R48"/>
    <mergeCell ref="E48:H48"/>
    <mergeCell ref="A1:J2"/>
    <mergeCell ref="K1:R2"/>
    <mergeCell ref="K5:R5"/>
    <mergeCell ref="C19:D19"/>
    <mergeCell ref="L19:M19"/>
    <mergeCell ref="N19:R19"/>
    <mergeCell ref="E19:H19"/>
  </mergeCells>
  <dataValidations count="2">
    <dataValidation type="list" allowBlank="1" showInputMessage="1" showErrorMessage="1" sqref="E33" xr:uid="{00000000-0002-0000-0900-000000000000}">
      <formula1>$V$7:$V$17</formula1>
    </dataValidation>
    <dataValidation type="list" allowBlank="1" showInputMessage="1" showErrorMessage="1" sqref="E34" xr:uid="{00000000-0002-0000-0900-000001000000}">
      <formula1>$V$22:$V$23</formula1>
    </dataValidation>
  </dataValidations>
  <pageMargins left="0.23622047244094491" right="0.23622047244094491" top="0.98425196850393704" bottom="0.74803149606299213" header="0.31496062992125984" footer="0.31496062992125984"/>
  <pageSetup paperSize="9" scale="62" orientation="portrait" r:id="rId1"/>
  <headerFooter>
    <oddHeader>&amp;L&amp;G&amp;R
Date: 01.11.2018
Creater: M. Eng. Dipl.-Ing. (FH) Torsten Langejürgen
Page &amp;P of &amp;N</oddHeader>
    <oddFooter>&amp;CCONNECTING SYSTEMS FOR TIMBER CONSTRUCTION and FURNITURE &amp; INTERIEUR DESIGN
KNAPP GMBH, A-3324 Euratsfeld, Wassergasse 31,  AUSTRIA/EUROPE 
 Tel. +43(0)7474/79910,  Fax +43(0)7474/79910-99
eMail: info@knapp-connectors.com,  www.knapp-connectors.com</oddFooter>
  </headerFooter>
  <rowBreaks count="1" manualBreakCount="1">
    <brk id="31" max="16383"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3000000}">
          <x14:formula1>
            <xm:f>'RICON_RICON-S-EK_GIGANT_WALCO '!$V$7:$V$16</xm:f>
          </x14:formula1>
          <xm:sqref>E5</xm:sqref>
        </x14:dataValidation>
        <x14:dataValidation type="list" allowBlank="1" showInputMessage="1" showErrorMessage="1" xr:uid="{00000000-0002-0000-0900-000002000000}">
          <x14:formula1>
            <xm:f>'RICON_RICON-S-EK_GIGANT_WALCO '!$V$27:$V$28</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M211"/>
  <sheetViews>
    <sheetView showGridLines="0" showRowColHeaders="0" zoomScaleNormal="100" workbookViewId="0">
      <selection activeCell="P25" sqref="P25"/>
    </sheetView>
  </sheetViews>
  <sheetFormatPr baseColWidth="10" defaultRowHeight="15"/>
  <cols>
    <col min="1" max="1" width="29.5703125" customWidth="1"/>
    <col min="2" max="2" width="21.85546875" customWidth="1"/>
    <col min="6" max="6" width="13.140625" customWidth="1"/>
    <col min="10" max="10" width="12.28515625" customWidth="1"/>
    <col min="11" max="11" width="12.42578125" customWidth="1"/>
    <col min="13" max="13" width="12.28515625" customWidth="1"/>
    <col min="14" max="15" width="12.140625" customWidth="1"/>
    <col min="16" max="16" width="29.42578125" customWidth="1"/>
    <col min="22" max="22" width="14.5703125" customWidth="1"/>
    <col min="23" max="23" width="22" customWidth="1"/>
    <col min="26" max="26" width="16.28515625" customWidth="1"/>
    <col min="32" max="32" width="26.140625" customWidth="1"/>
    <col min="35" max="35" width="15" customWidth="1"/>
  </cols>
  <sheetData>
    <row r="1" spans="1:24" ht="26.25">
      <c r="A1" s="1" t="s">
        <v>0</v>
      </c>
      <c r="B1" s="1"/>
      <c r="R1" s="2"/>
      <c r="S1" s="2"/>
      <c r="T1" s="2"/>
    </row>
    <row r="3" spans="1:24" ht="18.75">
      <c r="A3" s="50" t="s">
        <v>1269</v>
      </c>
      <c r="B3" s="50"/>
      <c r="R3" s="2"/>
      <c r="S3" s="2"/>
      <c r="T3" s="2"/>
      <c r="X3" s="2"/>
    </row>
    <row r="4" spans="1:24">
      <c r="L4" t="s">
        <v>1</v>
      </c>
      <c r="Q4" s="732"/>
      <c r="R4" s="732"/>
      <c r="S4" s="732"/>
      <c r="T4" s="732"/>
      <c r="X4" s="2"/>
    </row>
    <row r="5" spans="1:24" ht="18">
      <c r="A5" s="3" t="s">
        <v>2</v>
      </c>
      <c r="B5" s="4" t="s">
        <v>278</v>
      </c>
      <c r="C5" s="4" t="s">
        <v>278</v>
      </c>
      <c r="D5" s="4" t="s">
        <v>3</v>
      </c>
      <c r="E5" s="4" t="s">
        <v>4</v>
      </c>
      <c r="F5" s="4" t="s">
        <v>5</v>
      </c>
      <c r="G5" s="4" t="s">
        <v>6</v>
      </c>
      <c r="H5" s="4" t="s">
        <v>7</v>
      </c>
      <c r="I5" s="4" t="s">
        <v>8</v>
      </c>
      <c r="J5" s="4" t="s">
        <v>9</v>
      </c>
      <c r="K5" s="4" t="s">
        <v>10</v>
      </c>
      <c r="L5" s="4" t="s">
        <v>11</v>
      </c>
      <c r="M5" s="4" t="s">
        <v>12</v>
      </c>
      <c r="N5" s="5" t="s">
        <v>13</v>
      </c>
      <c r="O5" s="56"/>
      <c r="P5" s="3" t="s">
        <v>2</v>
      </c>
      <c r="Q5" s="664" t="s">
        <v>14</v>
      </c>
      <c r="R5" s="665"/>
      <c r="S5" s="665"/>
      <c r="T5" s="665"/>
      <c r="U5" s="666"/>
      <c r="X5" s="2"/>
    </row>
    <row r="6" spans="1:24">
      <c r="A6" s="7"/>
      <c r="B6" s="8" t="s">
        <v>279</v>
      </c>
      <c r="C6" s="8" t="s">
        <v>280</v>
      </c>
      <c r="D6" s="8" t="s">
        <v>17</v>
      </c>
      <c r="E6" s="8" t="s">
        <v>18</v>
      </c>
      <c r="F6" s="8" t="s">
        <v>18</v>
      </c>
      <c r="G6" s="8" t="s">
        <v>19</v>
      </c>
      <c r="H6" s="8" t="s">
        <v>18</v>
      </c>
      <c r="I6" s="8" t="s">
        <v>18</v>
      </c>
      <c r="J6" s="8" t="s">
        <v>18</v>
      </c>
      <c r="K6" s="8" t="s">
        <v>17</v>
      </c>
      <c r="L6" s="8" t="s">
        <v>17</v>
      </c>
      <c r="M6" s="8" t="s">
        <v>17</v>
      </c>
      <c r="N6" s="9" t="s">
        <v>17</v>
      </c>
      <c r="O6" s="56"/>
      <c r="P6" s="7"/>
      <c r="Q6" s="10">
        <v>0.6</v>
      </c>
      <c r="R6" s="10">
        <v>0.7</v>
      </c>
      <c r="S6" s="10">
        <v>0.8</v>
      </c>
      <c r="T6" s="10">
        <v>0.9</v>
      </c>
      <c r="U6" s="10">
        <v>1</v>
      </c>
      <c r="V6" s="10">
        <v>1.1000000000000001</v>
      </c>
      <c r="X6" s="2"/>
    </row>
    <row r="7" spans="1:24" ht="45">
      <c r="A7" s="224" t="s">
        <v>1065</v>
      </c>
      <c r="B7" s="212">
        <v>80</v>
      </c>
      <c r="C7" s="212">
        <v>160</v>
      </c>
      <c r="D7" s="212">
        <v>9</v>
      </c>
      <c r="E7" s="57">
        <v>60</v>
      </c>
      <c r="F7" s="57">
        <f t="shared" ref="F7" si="0">E7/2</f>
        <v>30</v>
      </c>
      <c r="G7" s="57">
        <f t="shared" ref="G7" si="1">(2*E7)/(E7-F7)</f>
        <v>4</v>
      </c>
      <c r="H7" s="57">
        <f t="shared" ref="H7" si="2">B7-10</f>
        <v>70</v>
      </c>
      <c r="I7" s="57">
        <f t="shared" ref="I7:I12" si="3">C7-15</f>
        <v>145</v>
      </c>
      <c r="J7" s="57">
        <v>8</v>
      </c>
      <c r="K7" s="212">
        <f t="shared" ref="K7:K21" si="4">(0.52*SQRT(J7)*(H7)^0.9*$B$24^0.8)/(1000*$K$24)</f>
        <v>7.8796178754106014</v>
      </c>
      <c r="L7" s="212">
        <f t="shared" ref="L7:L21" si="5">($L$23*0.52*SQRT(J7)*I7^0.9*$B$24^0.8)/(1000*$L$24)</f>
        <v>9.1054072130615449</v>
      </c>
      <c r="M7" s="212">
        <v>23</v>
      </c>
      <c r="N7" s="214">
        <f>G7*MIN(K7,L7,M7)</f>
        <v>31.518471501642406</v>
      </c>
      <c r="O7" s="56"/>
      <c r="P7" s="224" t="s">
        <v>1065</v>
      </c>
      <c r="Q7" s="215">
        <f t="shared" ref="Q7:V21" si="6">$G7*MIN($D7/1,$K7*Q$6/1.3,$L7*Q$6/1.3,$M7/1.25)</f>
        <v>14.546986846911878</v>
      </c>
      <c r="R7" s="215">
        <f t="shared" si="6"/>
        <v>16.971484654730524</v>
      </c>
      <c r="S7" s="215">
        <f t="shared" si="6"/>
        <v>19.395982462549174</v>
      </c>
      <c r="T7" s="215">
        <f t="shared" si="6"/>
        <v>21.82048027036782</v>
      </c>
      <c r="U7" s="215">
        <f t="shared" si="6"/>
        <v>24.244978078186467</v>
      </c>
      <c r="V7" s="215">
        <f t="shared" si="6"/>
        <v>26.669475886005113</v>
      </c>
      <c r="X7" s="2"/>
    </row>
    <row r="8" spans="1:24" ht="45">
      <c r="A8" s="224" t="s">
        <v>1066</v>
      </c>
      <c r="B8" s="212">
        <v>80</v>
      </c>
      <c r="C8" s="212">
        <v>160</v>
      </c>
      <c r="D8" s="212">
        <v>9</v>
      </c>
      <c r="E8" s="57">
        <v>60</v>
      </c>
      <c r="F8" s="57">
        <f t="shared" ref="F8:F21" si="7">E8/2</f>
        <v>30</v>
      </c>
      <c r="G8" s="57">
        <f t="shared" ref="G8:G21" si="8">(2*E8)/(E8-F8)</f>
        <v>4</v>
      </c>
      <c r="H8" s="57">
        <f t="shared" ref="H8:H12" si="9">B8-10</f>
        <v>70</v>
      </c>
      <c r="I8" s="57">
        <f t="shared" si="3"/>
        <v>145</v>
      </c>
      <c r="J8" s="57">
        <v>8</v>
      </c>
      <c r="K8" s="212">
        <f t="shared" si="4"/>
        <v>7.8796178754106014</v>
      </c>
      <c r="L8" s="212">
        <f t="shared" si="5"/>
        <v>9.1054072130615449</v>
      </c>
      <c r="M8" s="212">
        <v>23</v>
      </c>
      <c r="N8" s="214">
        <f t="shared" ref="N8:N21" si="10">G8*MIN(K8,L8,M8)</f>
        <v>31.518471501642406</v>
      </c>
      <c r="O8" s="605"/>
      <c r="P8" s="224" t="s">
        <v>1066</v>
      </c>
      <c r="Q8" s="215">
        <f t="shared" si="6"/>
        <v>14.546986846911878</v>
      </c>
      <c r="R8" s="215">
        <f t="shared" si="6"/>
        <v>16.971484654730524</v>
      </c>
      <c r="S8" s="215">
        <f t="shared" si="6"/>
        <v>19.395982462549174</v>
      </c>
      <c r="T8" s="215">
        <f t="shared" si="6"/>
        <v>21.82048027036782</v>
      </c>
      <c r="U8" s="215">
        <f t="shared" si="6"/>
        <v>24.244978078186467</v>
      </c>
      <c r="V8" s="215">
        <f t="shared" si="6"/>
        <v>26.669475886005113</v>
      </c>
      <c r="X8" s="2"/>
    </row>
    <row r="9" spans="1:24" ht="45.75" thickBot="1">
      <c r="A9" s="585" t="s">
        <v>1067</v>
      </c>
      <c r="B9" s="518">
        <v>80</v>
      </c>
      <c r="C9" s="518">
        <v>240</v>
      </c>
      <c r="D9" s="518">
        <v>9</v>
      </c>
      <c r="E9" s="562">
        <v>60</v>
      </c>
      <c r="F9" s="562">
        <f t="shared" si="7"/>
        <v>30</v>
      </c>
      <c r="G9" s="562">
        <f t="shared" si="8"/>
        <v>4</v>
      </c>
      <c r="H9" s="562">
        <f t="shared" si="9"/>
        <v>70</v>
      </c>
      <c r="I9" s="562">
        <f t="shared" si="3"/>
        <v>225</v>
      </c>
      <c r="J9" s="562">
        <v>8</v>
      </c>
      <c r="K9" s="518">
        <f t="shared" si="4"/>
        <v>7.8796178754106014</v>
      </c>
      <c r="L9" s="518">
        <f t="shared" si="5"/>
        <v>13.521735531614226</v>
      </c>
      <c r="M9" s="518">
        <v>23</v>
      </c>
      <c r="N9" s="214">
        <f t="shared" si="10"/>
        <v>31.518471501642406</v>
      </c>
      <c r="O9" s="605"/>
      <c r="P9" s="585" t="s">
        <v>1067</v>
      </c>
      <c r="Q9" s="606">
        <f t="shared" si="6"/>
        <v>14.546986846911878</v>
      </c>
      <c r="R9" s="606">
        <f t="shared" si="6"/>
        <v>16.971484654730524</v>
      </c>
      <c r="S9" s="606">
        <f t="shared" si="6"/>
        <v>19.395982462549174</v>
      </c>
      <c r="T9" s="606">
        <f t="shared" si="6"/>
        <v>21.82048027036782</v>
      </c>
      <c r="U9" s="606">
        <f t="shared" si="6"/>
        <v>24.244978078186467</v>
      </c>
      <c r="V9" s="606">
        <f t="shared" si="6"/>
        <v>26.669475886005113</v>
      </c>
      <c r="X9" s="2"/>
    </row>
    <row r="10" spans="1:24" ht="45">
      <c r="A10" s="269" t="s">
        <v>1068</v>
      </c>
      <c r="B10" s="260">
        <v>80</v>
      </c>
      <c r="C10" s="260">
        <v>160</v>
      </c>
      <c r="D10" s="260">
        <v>9</v>
      </c>
      <c r="E10" s="261">
        <v>120</v>
      </c>
      <c r="F10" s="261">
        <f t="shared" ref="F10" si="11">E10/2</f>
        <v>60</v>
      </c>
      <c r="G10" s="261">
        <f t="shared" ref="G10" si="12">(2*E10)/(E10-F10)</f>
        <v>4</v>
      </c>
      <c r="H10" s="261">
        <f t="shared" ref="H10" si="13">B10-10</f>
        <v>70</v>
      </c>
      <c r="I10" s="261">
        <f t="shared" si="3"/>
        <v>145</v>
      </c>
      <c r="J10" s="261">
        <v>8</v>
      </c>
      <c r="K10" s="260">
        <f t="shared" si="4"/>
        <v>7.8796178754106014</v>
      </c>
      <c r="L10" s="260">
        <f t="shared" si="5"/>
        <v>9.1054072130615449</v>
      </c>
      <c r="M10" s="260">
        <v>23</v>
      </c>
      <c r="N10" s="214">
        <f t="shared" si="10"/>
        <v>31.518471501642406</v>
      </c>
      <c r="O10" s="605"/>
      <c r="P10" s="269" t="s">
        <v>1068</v>
      </c>
      <c r="Q10" s="265">
        <f t="shared" si="6"/>
        <v>14.546986846911878</v>
      </c>
      <c r="R10" s="265">
        <f t="shared" si="6"/>
        <v>16.971484654730524</v>
      </c>
      <c r="S10" s="265">
        <f t="shared" si="6"/>
        <v>19.395982462549174</v>
      </c>
      <c r="T10" s="265">
        <f t="shared" si="6"/>
        <v>21.82048027036782</v>
      </c>
      <c r="U10" s="265">
        <f t="shared" si="6"/>
        <v>24.244978078186467</v>
      </c>
      <c r="V10" s="265">
        <f t="shared" si="6"/>
        <v>26.669475886005113</v>
      </c>
      <c r="X10" s="2"/>
    </row>
    <row r="11" spans="1:24" ht="45">
      <c r="A11" s="224" t="s">
        <v>1069</v>
      </c>
      <c r="B11" s="260">
        <v>80</v>
      </c>
      <c r="C11" s="260">
        <v>160</v>
      </c>
      <c r="D11" s="260">
        <v>9</v>
      </c>
      <c r="E11" s="261">
        <v>120</v>
      </c>
      <c r="F11" s="261">
        <f t="shared" si="7"/>
        <v>60</v>
      </c>
      <c r="G11" s="261">
        <f t="shared" si="8"/>
        <v>4</v>
      </c>
      <c r="H11" s="261">
        <f t="shared" si="9"/>
        <v>70</v>
      </c>
      <c r="I11" s="261">
        <f t="shared" si="3"/>
        <v>145</v>
      </c>
      <c r="J11" s="261">
        <v>8</v>
      </c>
      <c r="K11" s="260">
        <f t="shared" si="4"/>
        <v>7.8796178754106014</v>
      </c>
      <c r="L11" s="260">
        <f t="shared" si="5"/>
        <v>9.1054072130615449</v>
      </c>
      <c r="M11" s="260">
        <v>23</v>
      </c>
      <c r="N11" s="214">
        <f t="shared" si="10"/>
        <v>31.518471501642406</v>
      </c>
      <c r="O11" s="605"/>
      <c r="P11" s="224" t="s">
        <v>1069</v>
      </c>
      <c r="Q11" s="265">
        <f t="shared" si="6"/>
        <v>14.546986846911878</v>
      </c>
      <c r="R11" s="265">
        <f t="shared" si="6"/>
        <v>16.971484654730524</v>
      </c>
      <c r="S11" s="265">
        <f t="shared" si="6"/>
        <v>19.395982462549174</v>
      </c>
      <c r="T11" s="265">
        <f t="shared" si="6"/>
        <v>21.82048027036782</v>
      </c>
      <c r="U11" s="265">
        <f t="shared" si="6"/>
        <v>24.244978078186467</v>
      </c>
      <c r="V11" s="265">
        <f t="shared" si="6"/>
        <v>26.669475886005113</v>
      </c>
      <c r="X11" s="2"/>
    </row>
    <row r="12" spans="1:24" ht="45.75" thickBot="1">
      <c r="A12" s="585" t="s">
        <v>1070</v>
      </c>
      <c r="B12" s="518">
        <v>80</v>
      </c>
      <c r="C12" s="518">
        <v>240</v>
      </c>
      <c r="D12" s="518">
        <v>9</v>
      </c>
      <c r="E12" s="562">
        <v>120</v>
      </c>
      <c r="F12" s="562">
        <f t="shared" si="7"/>
        <v>60</v>
      </c>
      <c r="G12" s="562">
        <f t="shared" si="8"/>
        <v>4</v>
      </c>
      <c r="H12" s="562">
        <f t="shared" si="9"/>
        <v>70</v>
      </c>
      <c r="I12" s="562">
        <f t="shared" si="3"/>
        <v>225</v>
      </c>
      <c r="J12" s="562">
        <v>8</v>
      </c>
      <c r="K12" s="518">
        <f t="shared" si="4"/>
        <v>7.8796178754106014</v>
      </c>
      <c r="L12" s="518">
        <f t="shared" si="5"/>
        <v>13.521735531614226</v>
      </c>
      <c r="M12" s="518">
        <v>23</v>
      </c>
      <c r="N12" s="601">
        <f t="shared" si="10"/>
        <v>31.518471501642406</v>
      </c>
      <c r="O12" s="605"/>
      <c r="P12" s="585" t="s">
        <v>1070</v>
      </c>
      <c r="Q12" s="606">
        <f t="shared" si="6"/>
        <v>14.546986846911878</v>
      </c>
      <c r="R12" s="606">
        <f t="shared" si="6"/>
        <v>16.971484654730524</v>
      </c>
      <c r="S12" s="606">
        <f t="shared" si="6"/>
        <v>19.395982462549174</v>
      </c>
      <c r="T12" s="606">
        <f t="shared" si="6"/>
        <v>21.82048027036782</v>
      </c>
      <c r="U12" s="606">
        <f t="shared" si="6"/>
        <v>24.244978078186467</v>
      </c>
      <c r="V12" s="606">
        <f t="shared" si="6"/>
        <v>26.669475886005113</v>
      </c>
      <c r="X12" s="2"/>
    </row>
    <row r="13" spans="1:24" ht="45">
      <c r="A13" s="269" t="s">
        <v>1071</v>
      </c>
      <c r="B13" s="260">
        <v>100</v>
      </c>
      <c r="C13" s="260">
        <v>200</v>
      </c>
      <c r="D13" s="260">
        <v>9</v>
      </c>
      <c r="E13" s="261">
        <v>120</v>
      </c>
      <c r="F13" s="261">
        <f t="shared" ref="F13" si="14">E13/2</f>
        <v>60</v>
      </c>
      <c r="G13" s="261">
        <f t="shared" ref="G13" si="15">(2*E13)/(E13-F13)</f>
        <v>4</v>
      </c>
      <c r="H13" s="261">
        <f>B13-15</f>
        <v>85</v>
      </c>
      <c r="I13" s="261">
        <f t="shared" ref="I13" si="16">C13-20</f>
        <v>180</v>
      </c>
      <c r="J13" s="261">
        <v>10</v>
      </c>
      <c r="K13" s="260">
        <f t="shared" si="4"/>
        <v>10.491774806064372</v>
      </c>
      <c r="L13" s="260">
        <f t="shared" si="5"/>
        <v>12.367115938864831</v>
      </c>
      <c r="M13" s="260">
        <v>32</v>
      </c>
      <c r="N13" s="268">
        <f t="shared" si="10"/>
        <v>41.967099224257488</v>
      </c>
      <c r="O13" s="605"/>
      <c r="P13" s="269" t="s">
        <v>1071</v>
      </c>
      <c r="Q13" s="265">
        <f t="shared" si="6"/>
        <v>19.369430411195761</v>
      </c>
      <c r="R13" s="265">
        <f t="shared" si="6"/>
        <v>22.597668813061723</v>
      </c>
      <c r="S13" s="265">
        <f t="shared" si="6"/>
        <v>25.825907214927689</v>
      </c>
      <c r="T13" s="265">
        <f t="shared" si="6"/>
        <v>29.054145616793647</v>
      </c>
      <c r="U13" s="265">
        <f t="shared" si="6"/>
        <v>32.282384018659606</v>
      </c>
      <c r="V13" s="265">
        <f t="shared" si="6"/>
        <v>35.510622420525571</v>
      </c>
      <c r="X13" s="2"/>
    </row>
    <row r="14" spans="1:24" ht="45">
      <c r="A14" s="224" t="s">
        <v>1072</v>
      </c>
      <c r="B14" s="260">
        <v>100</v>
      </c>
      <c r="C14" s="260">
        <v>200</v>
      </c>
      <c r="D14" s="260">
        <v>9</v>
      </c>
      <c r="E14" s="261">
        <v>120</v>
      </c>
      <c r="F14" s="261">
        <f t="shared" si="7"/>
        <v>60</v>
      </c>
      <c r="G14" s="261">
        <f t="shared" si="8"/>
        <v>4</v>
      </c>
      <c r="H14" s="261">
        <f>B14-15</f>
        <v>85</v>
      </c>
      <c r="I14" s="261">
        <f t="shared" ref="I14:I21" si="17">C14-20</f>
        <v>180</v>
      </c>
      <c r="J14" s="261">
        <v>10</v>
      </c>
      <c r="K14" s="260">
        <f t="shared" si="4"/>
        <v>10.491774806064372</v>
      </c>
      <c r="L14" s="260">
        <f t="shared" si="5"/>
        <v>12.367115938864831</v>
      </c>
      <c r="M14" s="260">
        <v>32</v>
      </c>
      <c r="N14" s="214">
        <f t="shared" si="10"/>
        <v>41.967099224257488</v>
      </c>
      <c r="O14" s="605"/>
      <c r="P14" s="224" t="s">
        <v>1072</v>
      </c>
      <c r="Q14" s="265">
        <f t="shared" si="6"/>
        <v>19.369430411195761</v>
      </c>
      <c r="R14" s="265">
        <f t="shared" si="6"/>
        <v>22.597668813061723</v>
      </c>
      <c r="S14" s="265">
        <f t="shared" si="6"/>
        <v>25.825907214927689</v>
      </c>
      <c r="T14" s="265">
        <f t="shared" si="6"/>
        <v>29.054145616793647</v>
      </c>
      <c r="U14" s="265">
        <f t="shared" si="6"/>
        <v>32.282384018659606</v>
      </c>
      <c r="V14" s="265">
        <f t="shared" si="6"/>
        <v>35.510622420525571</v>
      </c>
      <c r="X14" s="2"/>
    </row>
    <row r="15" spans="1:24" ht="45.75" thickBot="1">
      <c r="A15" s="585" t="s">
        <v>1073</v>
      </c>
      <c r="B15" s="518">
        <v>100</v>
      </c>
      <c r="C15" s="518">
        <v>300</v>
      </c>
      <c r="D15" s="518">
        <v>9</v>
      </c>
      <c r="E15" s="562">
        <v>120</v>
      </c>
      <c r="F15" s="562">
        <f t="shared" si="7"/>
        <v>60</v>
      </c>
      <c r="G15" s="562">
        <f t="shared" si="8"/>
        <v>4</v>
      </c>
      <c r="H15" s="562">
        <f t="shared" ref="H15:H21" si="18">B15-15</f>
        <v>85</v>
      </c>
      <c r="I15" s="562">
        <f t="shared" si="17"/>
        <v>280</v>
      </c>
      <c r="J15" s="562">
        <v>10</v>
      </c>
      <c r="K15" s="518">
        <f t="shared" si="4"/>
        <v>10.491774806064372</v>
      </c>
      <c r="L15" s="518">
        <f t="shared" si="5"/>
        <v>18.406253787508255</v>
      </c>
      <c r="M15" s="518">
        <v>32</v>
      </c>
      <c r="N15" s="601">
        <f t="shared" si="10"/>
        <v>41.967099224257488</v>
      </c>
      <c r="O15" s="605"/>
      <c r="P15" s="585" t="s">
        <v>1073</v>
      </c>
      <c r="Q15" s="606">
        <f t="shared" si="6"/>
        <v>19.369430411195761</v>
      </c>
      <c r="R15" s="606">
        <f t="shared" si="6"/>
        <v>22.597668813061723</v>
      </c>
      <c r="S15" s="606">
        <f t="shared" si="6"/>
        <v>25.825907214927689</v>
      </c>
      <c r="T15" s="606">
        <f t="shared" si="6"/>
        <v>29.054145616793647</v>
      </c>
      <c r="U15" s="606">
        <f t="shared" si="6"/>
        <v>32.282384018659606</v>
      </c>
      <c r="V15" s="606">
        <f t="shared" si="6"/>
        <v>35.510622420525571</v>
      </c>
      <c r="X15" s="2"/>
    </row>
    <row r="16" spans="1:24" ht="45">
      <c r="A16" s="269" t="s">
        <v>1074</v>
      </c>
      <c r="B16" s="260">
        <v>100</v>
      </c>
      <c r="C16" s="260">
        <v>200</v>
      </c>
      <c r="D16" s="260">
        <v>9</v>
      </c>
      <c r="E16" s="261">
        <v>210</v>
      </c>
      <c r="F16" s="261">
        <f t="shared" ref="F16" si="19">E16/2</f>
        <v>105</v>
      </c>
      <c r="G16" s="261">
        <f t="shared" ref="G16" si="20">(2*E16)/(E16-F16)</f>
        <v>4</v>
      </c>
      <c r="H16" s="261">
        <f t="shared" ref="H16" si="21">B16-15</f>
        <v>85</v>
      </c>
      <c r="I16" s="261">
        <f t="shared" ref="I16" si="22">C16-20</f>
        <v>180</v>
      </c>
      <c r="J16" s="261">
        <v>10</v>
      </c>
      <c r="K16" s="260">
        <f t="shared" si="4"/>
        <v>10.491774806064372</v>
      </c>
      <c r="L16" s="260">
        <f t="shared" si="5"/>
        <v>12.367115938864831</v>
      </c>
      <c r="M16" s="260">
        <v>32</v>
      </c>
      <c r="N16" s="268">
        <f t="shared" si="10"/>
        <v>41.967099224257488</v>
      </c>
      <c r="O16" s="605"/>
      <c r="P16" s="269" t="s">
        <v>1074</v>
      </c>
      <c r="Q16" s="265">
        <f t="shared" si="6"/>
        <v>19.369430411195761</v>
      </c>
      <c r="R16" s="265">
        <f t="shared" si="6"/>
        <v>22.597668813061723</v>
      </c>
      <c r="S16" s="265">
        <f t="shared" si="6"/>
        <v>25.825907214927689</v>
      </c>
      <c r="T16" s="265">
        <f t="shared" si="6"/>
        <v>29.054145616793647</v>
      </c>
      <c r="U16" s="265">
        <f t="shared" si="6"/>
        <v>32.282384018659606</v>
      </c>
      <c r="V16" s="265">
        <f t="shared" si="6"/>
        <v>35.510622420525571</v>
      </c>
      <c r="X16" s="2"/>
    </row>
    <row r="17" spans="1:24" ht="45">
      <c r="A17" s="224" t="s">
        <v>1075</v>
      </c>
      <c r="B17" s="260">
        <v>100</v>
      </c>
      <c r="C17" s="260">
        <v>200</v>
      </c>
      <c r="D17" s="260">
        <v>9</v>
      </c>
      <c r="E17" s="261">
        <v>210</v>
      </c>
      <c r="F17" s="261">
        <f t="shared" si="7"/>
        <v>105</v>
      </c>
      <c r="G17" s="261">
        <f t="shared" si="8"/>
        <v>4</v>
      </c>
      <c r="H17" s="261">
        <f t="shared" si="18"/>
        <v>85</v>
      </c>
      <c r="I17" s="261">
        <f t="shared" si="17"/>
        <v>180</v>
      </c>
      <c r="J17" s="261">
        <v>10</v>
      </c>
      <c r="K17" s="260">
        <f t="shared" si="4"/>
        <v>10.491774806064372</v>
      </c>
      <c r="L17" s="260">
        <f t="shared" si="5"/>
        <v>12.367115938864831</v>
      </c>
      <c r="M17" s="260">
        <v>32</v>
      </c>
      <c r="N17" s="214">
        <f t="shared" si="10"/>
        <v>41.967099224257488</v>
      </c>
      <c r="O17" s="605"/>
      <c r="P17" s="224" t="s">
        <v>1075</v>
      </c>
      <c r="Q17" s="265">
        <f t="shared" si="6"/>
        <v>19.369430411195761</v>
      </c>
      <c r="R17" s="265">
        <f t="shared" si="6"/>
        <v>22.597668813061723</v>
      </c>
      <c r="S17" s="265">
        <f t="shared" si="6"/>
        <v>25.825907214927689</v>
      </c>
      <c r="T17" s="265">
        <f t="shared" si="6"/>
        <v>29.054145616793647</v>
      </c>
      <c r="U17" s="265">
        <f t="shared" si="6"/>
        <v>32.282384018659606</v>
      </c>
      <c r="V17" s="265">
        <f t="shared" si="6"/>
        <v>35.510622420525571</v>
      </c>
      <c r="X17" s="2"/>
    </row>
    <row r="18" spans="1:24" ht="45.75" thickBot="1">
      <c r="A18" s="585" t="s">
        <v>1076</v>
      </c>
      <c r="B18" s="518">
        <v>100</v>
      </c>
      <c r="C18" s="518">
        <v>300</v>
      </c>
      <c r="D18" s="518">
        <v>9</v>
      </c>
      <c r="E18" s="562">
        <v>210</v>
      </c>
      <c r="F18" s="562">
        <f t="shared" si="7"/>
        <v>105</v>
      </c>
      <c r="G18" s="562">
        <f t="shared" si="8"/>
        <v>4</v>
      </c>
      <c r="H18" s="562">
        <f t="shared" si="18"/>
        <v>85</v>
      </c>
      <c r="I18" s="562">
        <f t="shared" si="17"/>
        <v>280</v>
      </c>
      <c r="J18" s="562">
        <v>10</v>
      </c>
      <c r="K18" s="518">
        <f t="shared" si="4"/>
        <v>10.491774806064372</v>
      </c>
      <c r="L18" s="518">
        <f t="shared" si="5"/>
        <v>18.406253787508255</v>
      </c>
      <c r="M18" s="518">
        <v>32</v>
      </c>
      <c r="N18" s="601">
        <f t="shared" si="10"/>
        <v>41.967099224257488</v>
      </c>
      <c r="O18" s="605"/>
      <c r="P18" s="585" t="s">
        <v>1076</v>
      </c>
      <c r="Q18" s="606">
        <f t="shared" si="6"/>
        <v>19.369430411195761</v>
      </c>
      <c r="R18" s="606">
        <f t="shared" si="6"/>
        <v>22.597668813061723</v>
      </c>
      <c r="S18" s="606">
        <f t="shared" si="6"/>
        <v>25.825907214927689</v>
      </c>
      <c r="T18" s="606">
        <f t="shared" si="6"/>
        <v>29.054145616793647</v>
      </c>
      <c r="U18" s="606">
        <f t="shared" si="6"/>
        <v>32.282384018659606</v>
      </c>
      <c r="V18" s="606">
        <f t="shared" si="6"/>
        <v>35.510622420525571</v>
      </c>
      <c r="X18" s="2"/>
    </row>
    <row r="19" spans="1:24" ht="45">
      <c r="A19" s="269" t="s">
        <v>1077</v>
      </c>
      <c r="B19" s="260">
        <v>100</v>
      </c>
      <c r="C19" s="260">
        <v>200</v>
      </c>
      <c r="D19" s="260">
        <v>9</v>
      </c>
      <c r="E19" s="261">
        <v>270</v>
      </c>
      <c r="F19" s="261">
        <f t="shared" ref="F19" si="23">E19/2</f>
        <v>135</v>
      </c>
      <c r="G19" s="261">
        <f t="shared" ref="G19" si="24">(2*E19)/(E19-F19)</f>
        <v>4</v>
      </c>
      <c r="H19" s="261">
        <f t="shared" ref="H19" si="25">B19-15</f>
        <v>85</v>
      </c>
      <c r="I19" s="261">
        <f t="shared" ref="I19" si="26">C19-20</f>
        <v>180</v>
      </c>
      <c r="J19" s="261">
        <v>10</v>
      </c>
      <c r="K19" s="260">
        <f t="shared" si="4"/>
        <v>10.491774806064372</v>
      </c>
      <c r="L19" s="260">
        <f t="shared" si="5"/>
        <v>12.367115938864831</v>
      </c>
      <c r="M19" s="260">
        <v>32</v>
      </c>
      <c r="N19" s="268">
        <f t="shared" si="10"/>
        <v>41.967099224257488</v>
      </c>
      <c r="O19" s="605"/>
      <c r="P19" s="269" t="s">
        <v>1077</v>
      </c>
      <c r="Q19" s="265">
        <f t="shared" si="6"/>
        <v>19.369430411195761</v>
      </c>
      <c r="R19" s="265">
        <f t="shared" si="6"/>
        <v>22.597668813061723</v>
      </c>
      <c r="S19" s="265">
        <f t="shared" si="6"/>
        <v>25.825907214927689</v>
      </c>
      <c r="T19" s="265">
        <f t="shared" si="6"/>
        <v>29.054145616793647</v>
      </c>
      <c r="U19" s="265">
        <f t="shared" si="6"/>
        <v>32.282384018659606</v>
      </c>
      <c r="V19" s="265">
        <f t="shared" si="6"/>
        <v>35.510622420525571</v>
      </c>
      <c r="X19" s="2"/>
    </row>
    <row r="20" spans="1:24" ht="45">
      <c r="A20" s="224" t="s">
        <v>1078</v>
      </c>
      <c r="B20" s="212">
        <v>100</v>
      </c>
      <c r="C20" s="212">
        <v>200</v>
      </c>
      <c r="D20" s="260">
        <v>9</v>
      </c>
      <c r="E20" s="261">
        <v>270</v>
      </c>
      <c r="F20" s="261">
        <f t="shared" si="7"/>
        <v>135</v>
      </c>
      <c r="G20" s="261">
        <f t="shared" si="8"/>
        <v>4</v>
      </c>
      <c r="H20" s="261">
        <f t="shared" si="18"/>
        <v>85</v>
      </c>
      <c r="I20" s="261">
        <f t="shared" si="17"/>
        <v>180</v>
      </c>
      <c r="J20" s="261">
        <v>10</v>
      </c>
      <c r="K20" s="260">
        <f t="shared" si="4"/>
        <v>10.491774806064372</v>
      </c>
      <c r="L20" s="260">
        <f t="shared" si="5"/>
        <v>12.367115938864831</v>
      </c>
      <c r="M20" s="260">
        <v>32</v>
      </c>
      <c r="N20" s="214">
        <f t="shared" si="10"/>
        <v>41.967099224257488</v>
      </c>
      <c r="O20" s="605"/>
      <c r="P20" s="224" t="s">
        <v>1078</v>
      </c>
      <c r="Q20" s="265">
        <f t="shared" si="6"/>
        <v>19.369430411195761</v>
      </c>
      <c r="R20" s="265">
        <f t="shared" si="6"/>
        <v>22.597668813061723</v>
      </c>
      <c r="S20" s="265">
        <f t="shared" si="6"/>
        <v>25.825907214927689</v>
      </c>
      <c r="T20" s="265">
        <f t="shared" si="6"/>
        <v>29.054145616793647</v>
      </c>
      <c r="U20" s="265">
        <f t="shared" si="6"/>
        <v>32.282384018659606</v>
      </c>
      <c r="V20" s="265">
        <f t="shared" si="6"/>
        <v>35.510622420525571</v>
      </c>
      <c r="X20" s="2"/>
    </row>
    <row r="21" spans="1:24" ht="47.25" customHeight="1">
      <c r="A21" s="224" t="s">
        <v>1079</v>
      </c>
      <c r="B21" s="212">
        <v>100</v>
      </c>
      <c r="C21" s="212">
        <v>300</v>
      </c>
      <c r="D21" s="212">
        <v>9</v>
      </c>
      <c r="E21" s="57">
        <v>270</v>
      </c>
      <c r="F21" s="57">
        <f t="shared" si="7"/>
        <v>135</v>
      </c>
      <c r="G21" s="57">
        <f t="shared" si="8"/>
        <v>4</v>
      </c>
      <c r="H21" s="57">
        <f t="shared" si="18"/>
        <v>85</v>
      </c>
      <c r="I21" s="57">
        <f t="shared" si="17"/>
        <v>280</v>
      </c>
      <c r="J21" s="57">
        <v>10</v>
      </c>
      <c r="K21" s="212">
        <f t="shared" si="4"/>
        <v>10.491774806064372</v>
      </c>
      <c r="L21" s="212">
        <f t="shared" si="5"/>
        <v>18.406253787508255</v>
      </c>
      <c r="M21" s="212">
        <v>32</v>
      </c>
      <c r="N21" s="214">
        <f t="shared" si="10"/>
        <v>41.967099224257488</v>
      </c>
      <c r="O21" s="607"/>
      <c r="P21" s="224" t="s">
        <v>1079</v>
      </c>
      <c r="Q21" s="215">
        <f t="shared" si="6"/>
        <v>19.369430411195761</v>
      </c>
      <c r="R21" s="215">
        <f t="shared" si="6"/>
        <v>22.597668813061723</v>
      </c>
      <c r="S21" s="215">
        <f t="shared" si="6"/>
        <v>25.825907214927689</v>
      </c>
      <c r="T21" s="215">
        <f t="shared" si="6"/>
        <v>29.054145616793647</v>
      </c>
      <c r="U21" s="215">
        <f t="shared" si="6"/>
        <v>32.282384018659606</v>
      </c>
      <c r="V21" s="215">
        <f t="shared" si="6"/>
        <v>35.510622420525571</v>
      </c>
      <c r="X21" s="2"/>
    </row>
    <row r="22" spans="1:24">
      <c r="J22" s="21" t="s">
        <v>293</v>
      </c>
      <c r="K22" s="13">
        <v>90</v>
      </c>
      <c r="L22" s="13">
        <v>0</v>
      </c>
      <c r="R22" s="2"/>
      <c r="S22" s="2"/>
      <c r="T22" s="2"/>
    </row>
    <row r="23" spans="1:24">
      <c r="A23" s="19" t="s">
        <v>35</v>
      </c>
      <c r="B23" s="368" t="str">
        <f>'RICON-S'!E76</f>
        <v>GL24h</v>
      </c>
      <c r="J23" s="21" t="s">
        <v>294</v>
      </c>
      <c r="K23" s="216">
        <v>1</v>
      </c>
      <c r="L23" s="216">
        <v>0.6</v>
      </c>
      <c r="R23" s="2"/>
      <c r="S23" s="2"/>
      <c r="T23" s="2"/>
    </row>
    <row r="24" spans="1:24" ht="18">
      <c r="A24" s="21" t="s">
        <v>37</v>
      </c>
      <c r="B24" s="2">
        <f>VLOOKUP(B23,'RICON_RICON-S-EK_GIGANT_WALCO '!V7:W18,2,FALSE)</f>
        <v>385</v>
      </c>
      <c r="C24" t="s">
        <v>38</v>
      </c>
      <c r="J24" s="21" t="s">
        <v>721</v>
      </c>
      <c r="K24" s="216">
        <f>IF(B23="FST D70",1.5*COS(RADIANS(J30))^2+SIN(RADIANS(J30))^2,1)</f>
        <v>1</v>
      </c>
      <c r="L24" s="216">
        <f>IF(B23="FST D70",1.5*COS(RADIANS(I30))^2+SIN(RADIANS(I30))^2,1)</f>
        <v>1</v>
      </c>
      <c r="R24" s="2"/>
      <c r="S24" s="2"/>
      <c r="T24" s="2"/>
    </row>
    <row r="25" spans="1:24">
      <c r="R25" s="2"/>
      <c r="S25" s="2"/>
      <c r="T25" s="2"/>
    </row>
    <row r="27" spans="1:24" ht="26.25">
      <c r="A27" s="1" t="s">
        <v>55</v>
      </c>
      <c r="B27" s="1"/>
      <c r="I27" t="s">
        <v>708</v>
      </c>
    </row>
    <row r="28" spans="1:24">
      <c r="H28" s="21"/>
      <c r="I28" t="s">
        <v>709</v>
      </c>
      <c r="J28" t="s">
        <v>710</v>
      </c>
      <c r="K28" t="s">
        <v>711</v>
      </c>
    </row>
    <row r="29" spans="1:24" ht="18.75">
      <c r="A29" s="50" t="s">
        <v>1270</v>
      </c>
      <c r="B29" s="50"/>
      <c r="E29" s="195"/>
      <c r="H29" s="417" t="s">
        <v>712</v>
      </c>
      <c r="I29">
        <v>90</v>
      </c>
      <c r="J29">
        <v>90</v>
      </c>
      <c r="K29">
        <v>90</v>
      </c>
      <c r="R29" s="2"/>
      <c r="S29" s="2"/>
      <c r="T29" s="2"/>
    </row>
    <row r="30" spans="1:24" ht="18.75">
      <c r="A30" s="50"/>
      <c r="B30" s="50"/>
      <c r="E30" s="195"/>
      <c r="H30" s="417" t="s">
        <v>713</v>
      </c>
      <c r="I30">
        <v>0</v>
      </c>
      <c r="J30">
        <v>0</v>
      </c>
      <c r="K30">
        <v>90</v>
      </c>
      <c r="R30" s="2"/>
      <c r="S30" s="2"/>
      <c r="T30" s="2"/>
    </row>
    <row r="31" spans="1:24">
      <c r="A31" s="19" t="s">
        <v>35</v>
      </c>
      <c r="B31" t="str">
        <f>'RICON-S'!E76</f>
        <v>GL24h</v>
      </c>
      <c r="D31" s="195"/>
      <c r="H31" s="417" t="s">
        <v>714</v>
      </c>
      <c r="I31">
        <v>0</v>
      </c>
      <c r="J31">
        <v>90</v>
      </c>
      <c r="K31">
        <v>90</v>
      </c>
      <c r="R31" s="2"/>
      <c r="S31" s="2"/>
      <c r="T31" s="2"/>
    </row>
    <row r="32" spans="1:24" ht="18">
      <c r="A32" s="21" t="s">
        <v>295</v>
      </c>
      <c r="B32">
        <f>VLOOKUP(B31,'RICON_RICON-S-EK_GIGANT_WALCO '!V7:W18,2,FALSE)</f>
        <v>385</v>
      </c>
      <c r="C32" t="s">
        <v>38</v>
      </c>
      <c r="H32" s="21" t="s">
        <v>716</v>
      </c>
      <c r="I32">
        <f>0.9+0.015*$C$34</f>
        <v>1.02</v>
      </c>
      <c r="J32">
        <f t="shared" ref="J32:K32" si="27">0.9+0.015*$C$34</f>
        <v>1.02</v>
      </c>
      <c r="K32">
        <f t="shared" si="27"/>
        <v>1.02</v>
      </c>
      <c r="L32" t="s">
        <v>717</v>
      </c>
      <c r="R32" s="2"/>
      <c r="S32" s="2"/>
      <c r="T32" s="2"/>
    </row>
    <row r="33" spans="1:23" ht="18">
      <c r="A33" s="21" t="s">
        <v>59</v>
      </c>
      <c r="B33">
        <v>35000</v>
      </c>
      <c r="C33">
        <v>20000</v>
      </c>
      <c r="D33" t="s">
        <v>60</v>
      </c>
      <c r="H33" s="21" t="s">
        <v>716</v>
      </c>
      <c r="I33">
        <f>0.9+0.015*$B$34</f>
        <v>1.05</v>
      </c>
      <c r="J33">
        <f t="shared" ref="J33:K33" si="28">0.9+0.015*$B$34</f>
        <v>1.05</v>
      </c>
      <c r="K33">
        <f t="shared" si="28"/>
        <v>1.05</v>
      </c>
      <c r="L33" t="s">
        <v>718</v>
      </c>
      <c r="R33" s="2"/>
      <c r="S33" s="2"/>
      <c r="T33" s="2"/>
    </row>
    <row r="34" spans="1:23">
      <c r="A34" s="21" t="s">
        <v>61</v>
      </c>
      <c r="B34">
        <v>10</v>
      </c>
      <c r="C34">
        <v>8</v>
      </c>
      <c r="D34" t="s">
        <v>62</v>
      </c>
      <c r="H34" s="21" t="s">
        <v>715</v>
      </c>
      <c r="I34">
        <v>1.4</v>
      </c>
      <c r="J34">
        <v>1.4</v>
      </c>
      <c r="K34">
        <v>1.4</v>
      </c>
      <c r="R34" s="2"/>
      <c r="S34" s="2"/>
      <c r="T34" s="2"/>
    </row>
    <row r="35" spans="1:23" ht="18">
      <c r="A35" s="21" t="s">
        <v>63</v>
      </c>
      <c r="B35" s="526">
        <f>IF(B31="FST D70",I38,0.082/2.5*$B$34^-0.3*$B$32)</f>
        <v>6.3289923862451936</v>
      </c>
      <c r="C35" s="526">
        <f>IF(B31="FST D70",I37,0.082/2.5*$C$34^-0.3*$B$32)</f>
        <v>6.7671776424541559</v>
      </c>
      <c r="D35" t="s">
        <v>64</v>
      </c>
      <c r="H35" s="21" t="s">
        <v>719</v>
      </c>
      <c r="I35">
        <f>(I$32*SIN(RADIANS(I$29))^2+COS(RADIANS(I$29))^2)*(I$34*COS(RADIANS(I$30))^2+SIN(RADIANS(I$30))^2)*(2.5*COS(RADIANS(I$31))^2+SIN(RADIANS(I$31))^2)</f>
        <v>3.57</v>
      </c>
      <c r="J35">
        <f t="shared" ref="J35:K35" si="29">(J$32*SIN(RADIANS(J$29))^2+COS(RADIANS(J$29))^2)*(J$34*COS(RADIANS(J$30))^2+SIN(RADIANS(J$30))^2)*(2.5*COS(RADIANS(J$31))^2+SIN(RADIANS(J$31))^2)</f>
        <v>1.4279999999999999</v>
      </c>
      <c r="K35">
        <f t="shared" si="29"/>
        <v>1.02</v>
      </c>
      <c r="L35" t="s">
        <v>717</v>
      </c>
      <c r="R35" s="2"/>
      <c r="S35" s="2"/>
      <c r="T35" s="2"/>
    </row>
    <row r="36" spans="1:23" ht="18">
      <c r="A36" s="21" t="s">
        <v>65</v>
      </c>
      <c r="B36" s="70">
        <f>IF(B31="FST D70",J38,0.082*$B$34^-0.3*$B$32)</f>
        <v>15.822480965612984</v>
      </c>
      <c r="C36" s="70">
        <f>IF(B31="FST D70",J37,0.082*$C$34^-0.3*$B$32)</f>
        <v>16.917944106135387</v>
      </c>
      <c r="D36" t="s">
        <v>64</v>
      </c>
      <c r="H36" s="21" t="s">
        <v>719</v>
      </c>
      <c r="I36">
        <f>(I$33*SIN(RADIANS(I$29))^2+COS(RADIANS(I$29))^2)*(I$34*COS(RADIANS(I$30))^2+SIN(RADIANS(I$30))^2)*(2.5*COS(RADIANS(I$31))^2+SIN(RADIANS(I$31))^2)</f>
        <v>3.6749999999999998</v>
      </c>
      <c r="J36">
        <f t="shared" ref="J36:K36" si="30">(J$33*SIN(RADIANS(J$29))^2+COS(RADIANS(J$29))^2)*(J$34*COS(RADIANS(J$30))^2+SIN(RADIANS(J$30))^2)*(2.5*COS(RADIANS(J$31))^2+SIN(RADIANS(J$31))^2)</f>
        <v>1.47</v>
      </c>
      <c r="K36">
        <f t="shared" si="30"/>
        <v>1.05</v>
      </c>
      <c r="L36" t="s">
        <v>718</v>
      </c>
      <c r="R36" s="2"/>
      <c r="S36" s="2"/>
      <c r="T36" s="2"/>
    </row>
    <row r="37" spans="1:23" ht="18">
      <c r="H37" s="21" t="s">
        <v>720</v>
      </c>
      <c r="I37" s="17">
        <f>0.082*$B$32*(1-0.01*$C$34)/I$35</f>
        <v>8.1356862745098049</v>
      </c>
      <c r="J37" s="17">
        <f t="shared" ref="J37:K37" si="31">0.082*$B$32*(1-0.01*$C$34)/J$35</f>
        <v>20.339215686274514</v>
      </c>
      <c r="K37" s="17">
        <f t="shared" si="31"/>
        <v>28.474901960784315</v>
      </c>
      <c r="L37" t="s">
        <v>717</v>
      </c>
      <c r="R37" s="2"/>
      <c r="S37" s="2"/>
      <c r="T37" s="2"/>
    </row>
    <row r="38" spans="1:23" ht="18">
      <c r="H38" s="21" t="s">
        <v>720</v>
      </c>
      <c r="I38" s="17">
        <f>0.082*$B$32*(1-0.01*$B$34)/I$36</f>
        <v>7.7314285714285722</v>
      </c>
      <c r="J38" s="17">
        <f t="shared" ref="J38:K38" si="32">0.082*$B$32*(1-0.01*$B$34)/J$36</f>
        <v>19.328571428571429</v>
      </c>
      <c r="K38" s="17">
        <f t="shared" si="32"/>
        <v>27.06</v>
      </c>
      <c r="L38" t="s">
        <v>718</v>
      </c>
      <c r="R38" s="2"/>
      <c r="S38" s="2"/>
      <c r="T38" s="2"/>
    </row>
    <row r="39" spans="1:23">
      <c r="R39" s="2"/>
      <c r="S39" s="2"/>
      <c r="T39" s="2"/>
    </row>
    <row r="40" spans="1:23" ht="18">
      <c r="A40" s="3" t="s">
        <v>2</v>
      </c>
      <c r="B40" s="4" t="s">
        <v>41</v>
      </c>
      <c r="C40" s="4" t="s">
        <v>9</v>
      </c>
      <c r="D40" s="4" t="s">
        <v>278</v>
      </c>
      <c r="E40" s="4" t="s">
        <v>42</v>
      </c>
      <c r="F40" s="4" t="s">
        <v>272</v>
      </c>
      <c r="G40" s="163" t="s">
        <v>273</v>
      </c>
      <c r="H40" s="4" t="s">
        <v>58</v>
      </c>
      <c r="J40" s="2"/>
      <c r="R40" s="2"/>
      <c r="S40" s="2"/>
      <c r="T40" s="2"/>
    </row>
    <row r="41" spans="1:23">
      <c r="A41" s="7"/>
      <c r="B41" s="8" t="s">
        <v>19</v>
      </c>
      <c r="C41" s="8" t="s">
        <v>18</v>
      </c>
      <c r="D41" s="8" t="s">
        <v>280</v>
      </c>
      <c r="E41" s="8" t="s">
        <v>18</v>
      </c>
      <c r="F41" s="8" t="s">
        <v>17</v>
      </c>
      <c r="G41" s="164" t="s">
        <v>17</v>
      </c>
      <c r="H41" s="56" t="s">
        <v>17</v>
      </c>
      <c r="J41" s="2"/>
      <c r="R41" s="2"/>
      <c r="S41" s="2"/>
      <c r="T41" s="2"/>
    </row>
    <row r="42" spans="1:23" ht="45">
      <c r="A42" s="224" t="s">
        <v>1065</v>
      </c>
      <c r="B42" s="57">
        <v>7</v>
      </c>
      <c r="C42" s="57">
        <v>8</v>
      </c>
      <c r="D42" s="212">
        <v>160</v>
      </c>
      <c r="E42" s="220">
        <f t="shared" ref="E42:E47" si="33">D42-15</f>
        <v>145</v>
      </c>
      <c r="F42" s="220">
        <f t="shared" ref="F42:F53" si="34">($F$62*0.52*SQRT(C42)*E42^0.9*$B$32^0.8)/(1000*$F$63)</f>
        <v>9.1054072130615449</v>
      </c>
      <c r="G42" s="220">
        <f t="shared" ref="G42:G47" si="35">MIN($C$34*$C$35*E42/1000,(2.3*SQRT($C$33*$C$34*$C$35))/1000+(F42/4),$C$34*$C$35*E42/1000*(SQRT(2+4*$C$33/($C$34*$C$35*E42^2))-1)+F42/4)</f>
        <v>4.6696213569457061</v>
      </c>
      <c r="H42" s="221">
        <f t="shared" ref="H42:H53" si="36">B42^0.9*G42</f>
        <v>26.907286476487887</v>
      </c>
      <c r="I42" s="196" t="s">
        <v>296</v>
      </c>
      <c r="J42" s="2"/>
      <c r="R42" s="2"/>
      <c r="S42" s="2"/>
      <c r="T42" s="2"/>
    </row>
    <row r="43" spans="1:23" ht="45">
      <c r="A43" s="224" t="s">
        <v>1066</v>
      </c>
      <c r="B43" s="57">
        <v>10</v>
      </c>
      <c r="C43" s="57">
        <v>8</v>
      </c>
      <c r="D43" s="212">
        <v>160</v>
      </c>
      <c r="E43" s="220">
        <f t="shared" si="33"/>
        <v>145</v>
      </c>
      <c r="F43" s="220">
        <f t="shared" si="34"/>
        <v>9.1054072130615449</v>
      </c>
      <c r="G43" s="220">
        <f t="shared" si="35"/>
        <v>4.6696213569457061</v>
      </c>
      <c r="H43" s="221">
        <f t="shared" si="36"/>
        <v>37.092120892934879</v>
      </c>
      <c r="I43" s="196" t="s">
        <v>296</v>
      </c>
      <c r="J43" s="155"/>
      <c r="R43" s="2"/>
      <c r="S43" s="2"/>
      <c r="T43" s="2"/>
    </row>
    <row r="44" spans="1:23" ht="45.75" thickBot="1">
      <c r="A44" s="585" t="s">
        <v>1067</v>
      </c>
      <c r="B44" s="562">
        <v>10</v>
      </c>
      <c r="C44" s="562">
        <v>8</v>
      </c>
      <c r="D44" s="518">
        <v>240</v>
      </c>
      <c r="E44" s="602">
        <f t="shared" si="33"/>
        <v>225</v>
      </c>
      <c r="F44" s="602">
        <f t="shared" si="34"/>
        <v>13.521735531614226</v>
      </c>
      <c r="G44" s="602">
        <f t="shared" si="35"/>
        <v>5.773703436583876</v>
      </c>
      <c r="H44" s="603">
        <f t="shared" si="36"/>
        <v>45.862156586031894</v>
      </c>
      <c r="I44" s="196" t="s">
        <v>296</v>
      </c>
      <c r="J44" s="155"/>
      <c r="R44" s="2"/>
      <c r="S44" s="2"/>
      <c r="T44" s="2"/>
    </row>
    <row r="45" spans="1:23" ht="45">
      <c r="A45" s="269" t="s">
        <v>1068</v>
      </c>
      <c r="B45" s="261">
        <v>8</v>
      </c>
      <c r="C45" s="261">
        <v>8</v>
      </c>
      <c r="D45" s="260">
        <v>160</v>
      </c>
      <c r="E45" s="608">
        <f t="shared" si="33"/>
        <v>145</v>
      </c>
      <c r="F45" s="608">
        <f t="shared" si="34"/>
        <v>9.1054072130615449</v>
      </c>
      <c r="G45" s="608">
        <f t="shared" si="35"/>
        <v>4.6696213569457061</v>
      </c>
      <c r="H45" s="609">
        <f t="shared" si="36"/>
        <v>30.343289098043243</v>
      </c>
      <c r="I45" s="196" t="s">
        <v>296</v>
      </c>
      <c r="J45" s="155"/>
      <c r="R45" s="2"/>
      <c r="S45" s="2"/>
      <c r="T45" s="2"/>
    </row>
    <row r="46" spans="1:23" ht="45">
      <c r="A46" s="224" t="s">
        <v>1069</v>
      </c>
      <c r="B46" s="261">
        <v>16</v>
      </c>
      <c r="C46" s="261">
        <v>8</v>
      </c>
      <c r="D46" s="260">
        <v>160</v>
      </c>
      <c r="E46" s="608">
        <f t="shared" si="33"/>
        <v>145</v>
      </c>
      <c r="F46" s="608">
        <f t="shared" si="34"/>
        <v>9.1054072130615449</v>
      </c>
      <c r="G46" s="608">
        <f t="shared" si="35"/>
        <v>4.6696213569457061</v>
      </c>
      <c r="H46" s="609">
        <f t="shared" si="36"/>
        <v>56.622579600426967</v>
      </c>
      <c r="I46" s="196" t="s">
        <v>296</v>
      </c>
      <c r="J46" s="218"/>
      <c r="R46" s="2"/>
      <c r="S46" s="2"/>
      <c r="T46" s="2"/>
    </row>
    <row r="47" spans="1:23" ht="45.75" thickBot="1">
      <c r="A47" s="585" t="s">
        <v>1070</v>
      </c>
      <c r="B47" s="562">
        <v>16</v>
      </c>
      <c r="C47" s="562">
        <v>8</v>
      </c>
      <c r="D47" s="518">
        <v>240</v>
      </c>
      <c r="E47" s="602">
        <f t="shared" si="33"/>
        <v>225</v>
      </c>
      <c r="F47" s="602">
        <f t="shared" si="34"/>
        <v>13.521735531614226</v>
      </c>
      <c r="G47" s="602">
        <f t="shared" si="35"/>
        <v>5.773703436583876</v>
      </c>
      <c r="H47" s="603">
        <f t="shared" si="36"/>
        <v>70.01038359158558</v>
      </c>
      <c r="I47" s="196" t="s">
        <v>296</v>
      </c>
      <c r="J47" s="218"/>
      <c r="R47" s="2"/>
      <c r="S47" s="2"/>
      <c r="T47" s="2"/>
    </row>
    <row r="48" spans="1:23" ht="45">
      <c r="A48" s="269" t="s">
        <v>1071</v>
      </c>
      <c r="B48" s="261">
        <v>8</v>
      </c>
      <c r="C48" s="261">
        <v>10</v>
      </c>
      <c r="D48" s="260">
        <v>200</v>
      </c>
      <c r="E48" s="608">
        <f t="shared" ref="E48:E53" si="37">D48-20</f>
        <v>180</v>
      </c>
      <c r="F48" s="608">
        <f t="shared" si="34"/>
        <v>12.367115938864831</v>
      </c>
      <c r="G48" s="608">
        <f t="shared" ref="G48" si="38">MIN($B$34*$B$35*E48/1000,(2.3*SQRT($B$33*$B$34*$B$35))/1000+(F48/4),$B$34*$B$35*E48/1000*(SQRT(2+4*$B$33/($B$34*$B$35*E48^2))-1)+F48/4)</f>
        <v>6.5149543239492091</v>
      </c>
      <c r="H48" s="609">
        <f t="shared" si="36"/>
        <v>42.334298094233297</v>
      </c>
      <c r="I48" s="196" t="s">
        <v>296</v>
      </c>
      <c r="J48" s="218"/>
      <c r="K48" s="49"/>
      <c r="P48" s="610"/>
      <c r="Q48" s="2"/>
      <c r="R48" s="610"/>
      <c r="S48" s="2"/>
      <c r="T48" s="2"/>
      <c r="U48" s="2"/>
      <c r="V48" s="611"/>
      <c r="W48" s="611"/>
    </row>
    <row r="49" spans="1:39" ht="45">
      <c r="A49" s="224" t="s">
        <v>1072</v>
      </c>
      <c r="B49" s="261">
        <v>16</v>
      </c>
      <c r="C49" s="261">
        <v>10</v>
      </c>
      <c r="D49" s="260">
        <v>200</v>
      </c>
      <c r="E49" s="608">
        <f t="shared" si="37"/>
        <v>180</v>
      </c>
      <c r="F49" s="608">
        <f t="shared" si="34"/>
        <v>12.367115938864831</v>
      </c>
      <c r="G49" s="608">
        <f t="shared" ref="G49:G53" si="39">MIN($B$34*$B$35*E49/1000,(2.3*SQRT($B$33*$B$34*$B$35))/1000+(F49/4),$B$34*$B$35*E49/1000*(SQRT(2+4*$B$33/($B$34*$B$35*E49^2))-1)+F49/4)</f>
        <v>6.5149543239492091</v>
      </c>
      <c r="H49" s="609">
        <f t="shared" si="36"/>
        <v>78.998593590946925</v>
      </c>
      <c r="I49" s="196" t="s">
        <v>296</v>
      </c>
      <c r="J49" s="218"/>
      <c r="K49" s="458"/>
      <c r="L49" s="431"/>
      <c r="O49" s="521"/>
      <c r="P49" s="522"/>
      <c r="Q49" s="508"/>
      <c r="R49" s="508"/>
      <c r="S49" s="508"/>
      <c r="T49" s="523"/>
      <c r="U49" s="523"/>
      <c r="V49" s="18"/>
      <c r="W49" s="524"/>
    </row>
    <row r="50" spans="1:39" ht="45.75" thickBot="1">
      <c r="A50" s="585" t="s">
        <v>1073</v>
      </c>
      <c r="B50" s="562">
        <v>16</v>
      </c>
      <c r="C50" s="562">
        <v>10</v>
      </c>
      <c r="D50" s="518">
        <v>300</v>
      </c>
      <c r="E50" s="602">
        <f t="shared" si="37"/>
        <v>280</v>
      </c>
      <c r="F50" s="602">
        <f t="shared" si="34"/>
        <v>18.406253787508255</v>
      </c>
      <c r="G50" s="602">
        <f t="shared" si="39"/>
        <v>8.0247387861100652</v>
      </c>
      <c r="H50" s="603">
        <f t="shared" si="36"/>
        <v>97.305836160204535</v>
      </c>
      <c r="I50" s="196" t="s">
        <v>296</v>
      </c>
      <c r="J50" s="218"/>
      <c r="K50" s="458"/>
      <c r="L50" s="431"/>
      <c r="O50" s="521"/>
      <c r="P50" s="522"/>
      <c r="Q50" s="508"/>
      <c r="R50" s="508"/>
      <c r="S50" s="508"/>
      <c r="T50" s="523"/>
      <c r="U50" s="523"/>
      <c r="V50" s="18"/>
      <c r="W50" s="524"/>
    </row>
    <row r="51" spans="1:39" ht="45">
      <c r="A51" s="269" t="s">
        <v>1074</v>
      </c>
      <c r="B51" s="261">
        <v>8</v>
      </c>
      <c r="C51" s="261">
        <v>10</v>
      </c>
      <c r="D51" s="260">
        <v>200</v>
      </c>
      <c r="E51" s="608">
        <f t="shared" si="37"/>
        <v>180</v>
      </c>
      <c r="F51" s="608">
        <f t="shared" si="34"/>
        <v>12.367115938864831</v>
      </c>
      <c r="G51" s="608">
        <f t="shared" ref="G51" si="40">MIN($B$34*$B$35*E51/1000,(2.3*SQRT($B$33*$B$34*$B$35))/1000+(F51/4),$B$34*$B$35*E51/1000*(SQRT(2+4*$B$33/($B$34*$B$35*E51^2))-1)+F51/4)</f>
        <v>6.5149543239492091</v>
      </c>
      <c r="H51" s="609">
        <f t="shared" si="36"/>
        <v>42.334298094233297</v>
      </c>
      <c r="I51" s="196" t="s">
        <v>296</v>
      </c>
      <c r="J51" s="218"/>
      <c r="K51" s="458"/>
      <c r="L51" s="431"/>
      <c r="O51" s="521"/>
      <c r="P51" s="522"/>
      <c r="Q51" s="508"/>
      <c r="R51" s="508"/>
      <c r="S51" s="508"/>
      <c r="T51" s="523"/>
      <c r="U51" s="523"/>
      <c r="V51" s="18"/>
      <c r="W51" s="524"/>
    </row>
    <row r="52" spans="1:39" ht="45">
      <c r="A52" s="224" t="s">
        <v>1075</v>
      </c>
      <c r="B52" s="261">
        <v>25</v>
      </c>
      <c r="C52" s="261">
        <v>10</v>
      </c>
      <c r="D52" s="260">
        <v>200</v>
      </c>
      <c r="E52" s="608">
        <f t="shared" si="37"/>
        <v>180</v>
      </c>
      <c r="F52" s="608">
        <f t="shared" si="34"/>
        <v>12.367115938864831</v>
      </c>
      <c r="G52" s="608">
        <f t="shared" si="39"/>
        <v>6.5149543239492091</v>
      </c>
      <c r="H52" s="609">
        <f t="shared" si="36"/>
        <v>118.04766009468641</v>
      </c>
      <c r="I52" s="196" t="s">
        <v>296</v>
      </c>
      <c r="J52" s="218"/>
      <c r="K52" s="458"/>
      <c r="L52" s="431"/>
      <c r="O52" s="521"/>
      <c r="P52" s="522"/>
      <c r="Q52" s="508"/>
      <c r="R52" s="508"/>
      <c r="S52" s="508"/>
      <c r="T52" s="523"/>
      <c r="U52" s="523"/>
      <c r="V52" s="18"/>
      <c r="W52" s="524"/>
    </row>
    <row r="53" spans="1:39" ht="45.75" thickBot="1">
      <c r="A53" s="585" t="s">
        <v>1076</v>
      </c>
      <c r="B53" s="562">
        <v>25</v>
      </c>
      <c r="C53" s="562">
        <v>10</v>
      </c>
      <c r="D53" s="518">
        <v>300</v>
      </c>
      <c r="E53" s="602">
        <f t="shared" si="37"/>
        <v>280</v>
      </c>
      <c r="F53" s="602">
        <f t="shared" si="34"/>
        <v>18.406253787508255</v>
      </c>
      <c r="G53" s="602">
        <f t="shared" si="39"/>
        <v>8.0247387861100652</v>
      </c>
      <c r="H53" s="603">
        <f t="shared" si="36"/>
        <v>145.4041869624553</v>
      </c>
      <c r="I53" s="196" t="s">
        <v>296</v>
      </c>
      <c r="J53" s="218"/>
      <c r="S53" s="612"/>
      <c r="T53" s="525"/>
      <c r="X53" s="198"/>
      <c r="Y53" s="198"/>
      <c r="Z53" s="198"/>
      <c r="AA53" s="197"/>
      <c r="AB53" s="197"/>
      <c r="AC53" s="197"/>
      <c r="AD53" s="197"/>
      <c r="AF53" s="197"/>
      <c r="AG53" s="198"/>
      <c r="AH53" s="198"/>
      <c r="AI53" s="198"/>
      <c r="AJ53" s="197"/>
      <c r="AK53" s="197"/>
      <c r="AL53" s="197"/>
      <c r="AM53" s="197"/>
    </row>
    <row r="54" spans="1:39" ht="24" thickBot="1">
      <c r="A54" s="423"/>
      <c r="B54" s="613" t="s">
        <v>1108</v>
      </c>
      <c r="C54" s="613" t="s">
        <v>1109</v>
      </c>
      <c r="D54" s="507" t="s">
        <v>41</v>
      </c>
      <c r="E54" s="423" t="s">
        <v>1110</v>
      </c>
      <c r="F54" s="613" t="s">
        <v>1111</v>
      </c>
      <c r="G54" s="614" t="s">
        <v>9</v>
      </c>
      <c r="H54" s="613" t="s">
        <v>1112</v>
      </c>
      <c r="I54" s="614" t="s">
        <v>42</v>
      </c>
      <c r="J54" s="614" t="s">
        <v>56</v>
      </c>
      <c r="K54" s="614" t="s">
        <v>1113</v>
      </c>
      <c r="L54" s="615" t="s">
        <v>1114</v>
      </c>
      <c r="M54" s="615" t="s">
        <v>1115</v>
      </c>
      <c r="S54" s="612"/>
      <c r="T54" s="525"/>
      <c r="X54" s="198"/>
      <c r="Y54" s="198"/>
      <c r="Z54" s="198"/>
      <c r="AA54" s="197"/>
      <c r="AB54" s="197"/>
      <c r="AC54" s="197"/>
      <c r="AD54" s="197"/>
      <c r="AF54" s="197"/>
      <c r="AG54" s="198"/>
      <c r="AH54" s="198"/>
      <c r="AI54" s="198"/>
      <c r="AJ54" s="197"/>
      <c r="AK54" s="197"/>
      <c r="AL54" s="197"/>
      <c r="AM54" s="197"/>
    </row>
    <row r="55" spans="1:39" ht="17.25" customHeight="1">
      <c r="A55" s="730" t="s">
        <v>297</v>
      </c>
      <c r="B55" s="724">
        <v>28</v>
      </c>
      <c r="C55" s="724">
        <f>B55^0.9</f>
        <v>20.065141567878999</v>
      </c>
      <c r="D55" s="617">
        <f>B55-D56</f>
        <v>25</v>
      </c>
      <c r="E55" s="618">
        <f>D55/B55</f>
        <v>0.8928571428571429</v>
      </c>
      <c r="F55" s="619">
        <f>C55*E55</f>
        <v>17.915304971320538</v>
      </c>
      <c r="G55" s="620">
        <v>10</v>
      </c>
      <c r="H55" s="621">
        <v>200</v>
      </c>
      <c r="I55" s="622">
        <f>H55-20</f>
        <v>180</v>
      </c>
      <c r="J55" s="623">
        <f t="shared" ref="J55:J60" si="41">($F$62*0.52*SQRT(G55)*I55^0.9*$B$32^0.8)/(1000*$F$63)</f>
        <v>12.367115938864831</v>
      </c>
      <c r="K55" s="623">
        <f t="shared" ref="K55" si="42">MIN($B$34*$B$35*I55/1000,(2.3*SQRT($B$33*$B$34*$B$35))/1000+(J55/4),$B$34*$B$35*I55/1000*(SQRT(2+4*$B$33/($B$34*$B$35*I55^2))-1)+J55/4)</f>
        <v>6.5149543239492091</v>
      </c>
      <c r="L55" s="622">
        <f>F55*K55</f>
        <v>116.7173935877735</v>
      </c>
      <c r="M55" s="727">
        <f>L55+L56</f>
        <v>130.55707715016831</v>
      </c>
      <c r="R55" s="2"/>
      <c r="S55" s="2"/>
      <c r="T55" s="2"/>
      <c r="W55" s="197"/>
      <c r="X55" s="198"/>
      <c r="Y55" s="198"/>
      <c r="Z55" s="198"/>
      <c r="AA55" s="197"/>
      <c r="AB55" s="197"/>
      <c r="AC55" s="197"/>
      <c r="AD55" s="197"/>
      <c r="AF55" s="197"/>
      <c r="AG55" s="198"/>
      <c r="AH55" s="198"/>
      <c r="AI55" s="198"/>
      <c r="AJ55" s="197"/>
      <c r="AK55" s="197"/>
      <c r="AL55" s="197"/>
      <c r="AM55" s="197"/>
    </row>
    <row r="56" spans="1:39" ht="17.25" customHeight="1" thickBot="1">
      <c r="A56" s="731"/>
      <c r="B56" s="725"/>
      <c r="C56" s="725"/>
      <c r="D56" s="515">
        <v>3</v>
      </c>
      <c r="E56" s="516">
        <f>D56/B55</f>
        <v>0.10714285714285714</v>
      </c>
      <c r="F56" s="517">
        <f>C55*E56</f>
        <v>2.149836596558464</v>
      </c>
      <c r="G56" s="625">
        <v>10</v>
      </c>
      <c r="H56" s="37">
        <v>200</v>
      </c>
      <c r="I56" s="519">
        <f>H56-25</f>
        <v>175</v>
      </c>
      <c r="J56" s="520">
        <f t="shared" si="41"/>
        <v>12.057504188084518</v>
      </c>
      <c r="K56" s="520">
        <f t="shared" ref="K56:K60" si="43">MIN($B$34*$B$35*I56/1000,(2.3*SQRT($B$33*$B$34*$B$35))/1000+(J56/4),$B$34*$B$35*I56/1000*(SQRT(2+4*$B$33/($B$34*$B$35*I56^2))-1)+J56/4)</f>
        <v>6.4375513862541309</v>
      </c>
      <c r="L56" s="519">
        <f t="shared" ref="L56:L60" si="44">F56*K56</f>
        <v>13.839683562394804</v>
      </c>
      <c r="M56" s="728"/>
      <c r="R56" s="2"/>
      <c r="S56" s="2"/>
      <c r="T56" s="2"/>
      <c r="W56" s="197"/>
      <c r="X56" s="198"/>
      <c r="Y56" s="198"/>
      <c r="Z56" s="198"/>
      <c r="AA56" s="197"/>
      <c r="AB56" s="197"/>
      <c r="AC56" s="197"/>
      <c r="AD56" s="197"/>
      <c r="AF56" s="197"/>
      <c r="AG56" s="198"/>
      <c r="AH56" s="198"/>
      <c r="AI56" s="198"/>
      <c r="AJ56" s="197"/>
      <c r="AK56" s="197"/>
      <c r="AL56" s="197"/>
      <c r="AM56" s="197"/>
    </row>
    <row r="57" spans="1:39" ht="15" customHeight="1">
      <c r="A57" s="721" t="s">
        <v>725</v>
      </c>
      <c r="B57" s="724">
        <v>28</v>
      </c>
      <c r="C57" s="724">
        <f>B57^0.9</f>
        <v>20.065141567878999</v>
      </c>
      <c r="D57" s="617">
        <f>B57-D58</f>
        <v>25</v>
      </c>
      <c r="E57" s="618">
        <f t="shared" ref="E57" si="45">D57/B57</f>
        <v>0.8928571428571429</v>
      </c>
      <c r="F57" s="619">
        <f t="shared" ref="F57" si="46">C57*E57</f>
        <v>17.915304971320538</v>
      </c>
      <c r="G57" s="620">
        <v>10</v>
      </c>
      <c r="H57" s="621">
        <v>200</v>
      </c>
      <c r="I57" s="622">
        <f>H57-20</f>
        <v>180</v>
      </c>
      <c r="J57" s="623">
        <f t="shared" si="41"/>
        <v>12.367115938864831</v>
      </c>
      <c r="K57" s="623">
        <f t="shared" si="43"/>
        <v>6.5149543239492091</v>
      </c>
      <c r="L57" s="622">
        <f t="shared" si="44"/>
        <v>116.7173935877735</v>
      </c>
      <c r="M57" s="727">
        <f>L57+L58</f>
        <v>130.55707715016831</v>
      </c>
      <c r="R57" s="2"/>
      <c r="S57" s="2"/>
      <c r="T57" s="2"/>
      <c r="W57" s="199"/>
      <c r="X57" s="200"/>
      <c r="Y57" s="201"/>
      <c r="Z57" s="202"/>
      <c r="AA57" s="197"/>
      <c r="AB57" s="197"/>
      <c r="AC57" s="197"/>
      <c r="AD57" s="197"/>
      <c r="AF57" s="199"/>
      <c r="AG57" s="200"/>
      <c r="AH57" s="201"/>
      <c r="AI57" s="202"/>
      <c r="AJ57" s="197"/>
      <c r="AK57" s="197"/>
      <c r="AL57" s="197"/>
      <c r="AM57" s="197"/>
    </row>
    <row r="58" spans="1:39" ht="15" customHeight="1" thickBot="1">
      <c r="A58" s="722"/>
      <c r="B58" s="725"/>
      <c r="C58" s="725"/>
      <c r="D58" s="515">
        <v>3</v>
      </c>
      <c r="E58" s="516">
        <f t="shared" ref="E58" si="47">D58/B57</f>
        <v>0.10714285714285714</v>
      </c>
      <c r="F58" s="517">
        <f t="shared" ref="F58" si="48">C57*E58</f>
        <v>2.149836596558464</v>
      </c>
      <c r="G58" s="625">
        <v>10</v>
      </c>
      <c r="H58" s="37">
        <v>200</v>
      </c>
      <c r="I58" s="519">
        <f>H58-25</f>
        <v>175</v>
      </c>
      <c r="J58" s="520">
        <f t="shared" si="41"/>
        <v>12.057504188084518</v>
      </c>
      <c r="K58" s="520">
        <f t="shared" si="43"/>
        <v>6.4375513862541309</v>
      </c>
      <c r="L58" s="519">
        <f t="shared" si="44"/>
        <v>13.839683562394804</v>
      </c>
      <c r="M58" s="728"/>
      <c r="R58" s="2"/>
      <c r="S58" s="2"/>
      <c r="T58" s="2"/>
      <c r="W58" s="199"/>
      <c r="X58" s="200"/>
      <c r="Y58" s="201"/>
      <c r="Z58" s="202"/>
      <c r="AA58" s="197"/>
      <c r="AB58" s="197"/>
      <c r="AC58" s="197"/>
      <c r="AD58" s="197"/>
      <c r="AF58" s="199"/>
      <c r="AG58" s="200"/>
      <c r="AH58" s="201"/>
      <c r="AI58" s="202"/>
      <c r="AJ58" s="197"/>
      <c r="AK58" s="197"/>
      <c r="AL58" s="197"/>
      <c r="AM58" s="197"/>
    </row>
    <row r="59" spans="1:39">
      <c r="A59" s="723" t="s">
        <v>298</v>
      </c>
      <c r="B59" s="726">
        <v>28</v>
      </c>
      <c r="C59" s="726">
        <f>B59^0.9</f>
        <v>20.065141567878999</v>
      </c>
      <c r="D59" s="510">
        <f>B59-D60</f>
        <v>25</v>
      </c>
      <c r="E59" s="511">
        <f t="shared" ref="E59" si="49">D59/B59</f>
        <v>0.8928571428571429</v>
      </c>
      <c r="F59" s="512">
        <f t="shared" ref="F59" si="50">C59*E59</f>
        <v>17.915304971320538</v>
      </c>
      <c r="G59" s="626">
        <v>10</v>
      </c>
      <c r="H59" s="260">
        <v>300</v>
      </c>
      <c r="I59" s="513">
        <f>H59-20</f>
        <v>280</v>
      </c>
      <c r="J59" s="514">
        <f t="shared" si="41"/>
        <v>18.406253787508255</v>
      </c>
      <c r="K59" s="514">
        <f t="shared" si="43"/>
        <v>8.0247387861100652</v>
      </c>
      <c r="L59" s="513">
        <f t="shared" si="44"/>
        <v>143.7656426683464</v>
      </c>
      <c r="M59" s="729">
        <f>L59+L60</f>
        <v>160.85838852942155</v>
      </c>
      <c r="R59" s="2"/>
      <c r="S59" s="2"/>
      <c r="T59" s="2"/>
      <c r="W59" s="199"/>
      <c r="X59" s="200"/>
      <c r="Y59" s="201"/>
      <c r="Z59" s="202"/>
      <c r="AA59" s="203"/>
      <c r="AB59" s="203"/>
      <c r="AC59" s="203"/>
      <c r="AD59" s="203"/>
      <c r="AF59" s="199"/>
      <c r="AG59" s="200"/>
      <c r="AH59" s="201"/>
      <c r="AI59" s="202"/>
      <c r="AJ59" s="203"/>
      <c r="AK59" s="203"/>
      <c r="AL59" s="203"/>
      <c r="AM59" s="203"/>
    </row>
    <row r="60" spans="1:39" ht="15.75" thickBot="1">
      <c r="A60" s="722"/>
      <c r="B60" s="725"/>
      <c r="C60" s="725"/>
      <c r="D60" s="515">
        <v>3</v>
      </c>
      <c r="E60" s="516">
        <f>D60/B59</f>
        <v>0.10714285714285714</v>
      </c>
      <c r="F60" s="517">
        <f t="shared" ref="F60" si="51">C59*E60</f>
        <v>2.149836596558464</v>
      </c>
      <c r="G60" s="625">
        <v>10</v>
      </c>
      <c r="H60" s="518">
        <v>300</v>
      </c>
      <c r="I60" s="519">
        <f>H60-25</f>
        <v>275</v>
      </c>
      <c r="J60" s="520">
        <f t="shared" si="41"/>
        <v>18.110173128389938</v>
      </c>
      <c r="K60" s="520">
        <f t="shared" si="43"/>
        <v>7.9507186213304859</v>
      </c>
      <c r="L60" s="519">
        <f t="shared" si="44"/>
        <v>17.092745861075134</v>
      </c>
      <c r="M60" s="728"/>
      <c r="R60" s="2"/>
      <c r="S60" s="2"/>
      <c r="T60" s="2"/>
      <c r="W60" s="199"/>
      <c r="X60" s="200"/>
      <c r="Y60" s="201"/>
      <c r="Z60" s="202"/>
      <c r="AA60" s="203"/>
      <c r="AB60" s="203"/>
      <c r="AC60" s="203"/>
      <c r="AD60" s="203"/>
      <c r="AF60" s="199"/>
      <c r="AG60" s="200"/>
      <c r="AH60" s="201"/>
      <c r="AI60" s="202"/>
      <c r="AJ60" s="203"/>
      <c r="AK60" s="203"/>
      <c r="AL60" s="203"/>
      <c r="AM60" s="203"/>
    </row>
    <row r="61" spans="1:39">
      <c r="B61" s="68"/>
      <c r="C61" s="66"/>
      <c r="E61" s="21" t="s">
        <v>293</v>
      </c>
      <c r="F61" s="7">
        <v>0</v>
      </c>
      <c r="G61" s="223"/>
      <c r="H61" s="223"/>
      <c r="I61" s="196"/>
      <c r="J61" s="222"/>
      <c r="K61" s="223"/>
      <c r="L61" s="223"/>
      <c r="R61" s="2"/>
      <c r="S61" s="2"/>
      <c r="T61" s="2"/>
      <c r="W61" s="199"/>
      <c r="X61" s="200"/>
      <c r="Y61" s="201"/>
      <c r="Z61" s="202"/>
      <c r="AA61" s="203"/>
      <c r="AB61" s="203"/>
      <c r="AC61" s="203"/>
      <c r="AD61" s="203"/>
      <c r="AF61" s="199"/>
      <c r="AG61" s="200"/>
      <c r="AH61" s="201"/>
      <c r="AI61" s="202"/>
      <c r="AJ61" s="203"/>
      <c r="AK61" s="203"/>
      <c r="AL61" s="203"/>
      <c r="AM61" s="203"/>
    </row>
    <row r="62" spans="1:39">
      <c r="B62" s="68"/>
      <c r="C62" s="66"/>
      <c r="E62" s="21" t="s">
        <v>294</v>
      </c>
      <c r="F62" s="627">
        <v>0.6</v>
      </c>
      <c r="G62" s="223"/>
      <c r="H62" s="223"/>
      <c r="I62" s="196"/>
      <c r="J62" s="222"/>
      <c r="K62" s="223"/>
      <c r="L62" s="223"/>
      <c r="R62" s="2"/>
      <c r="S62" s="2"/>
      <c r="T62" s="2"/>
      <c r="W62" s="199"/>
      <c r="X62" s="200"/>
      <c r="Y62" s="201"/>
      <c r="Z62" s="202"/>
      <c r="AA62" s="203"/>
      <c r="AB62" s="203"/>
      <c r="AC62" s="203"/>
      <c r="AD62" s="203"/>
      <c r="AF62" s="199"/>
      <c r="AG62" s="200"/>
      <c r="AH62" s="201"/>
      <c r="AI62" s="202"/>
      <c r="AJ62" s="203"/>
      <c r="AK62" s="203"/>
      <c r="AL62" s="203"/>
      <c r="AM62" s="203"/>
    </row>
    <row r="63" spans="1:39">
      <c r="B63" s="68"/>
      <c r="C63" s="66"/>
      <c r="D63" s="66"/>
      <c r="E63" s="21" t="s">
        <v>721</v>
      </c>
      <c r="F63" s="627">
        <f>IF(B31="FST D70",1.5*(COS(RADIANS(I30))^2)+SIN(RADIANS(I30))^2,1)</f>
        <v>1</v>
      </c>
      <c r="G63" s="223"/>
      <c r="H63" s="223"/>
      <c r="I63" s="196"/>
      <c r="J63" s="222"/>
      <c r="K63" s="223"/>
      <c r="L63" s="223"/>
      <c r="R63" s="2"/>
      <c r="S63" s="2"/>
      <c r="T63" s="2"/>
      <c r="W63" s="199"/>
      <c r="X63" s="200"/>
      <c r="Y63" s="201"/>
      <c r="Z63" s="202"/>
      <c r="AA63" s="203"/>
      <c r="AB63" s="203"/>
      <c r="AC63" s="203"/>
      <c r="AD63" s="203"/>
      <c r="AF63" s="199"/>
      <c r="AG63" s="200"/>
      <c r="AH63" s="201"/>
      <c r="AI63" s="202"/>
      <c r="AJ63" s="203"/>
      <c r="AK63" s="203"/>
      <c r="AL63" s="203"/>
      <c r="AM63" s="203"/>
    </row>
    <row r="64" spans="1:39" ht="18" customHeight="1">
      <c r="A64" s="3" t="s">
        <v>2</v>
      </c>
      <c r="B64" s="4" t="s">
        <v>41</v>
      </c>
      <c r="C64" s="4" t="s">
        <v>9</v>
      </c>
      <c r="D64" s="4" t="s">
        <v>278</v>
      </c>
      <c r="E64" s="4" t="s">
        <v>42</v>
      </c>
      <c r="F64" s="4" t="s">
        <v>274</v>
      </c>
      <c r="G64" s="163" t="s">
        <v>275</v>
      </c>
      <c r="H64" s="4" t="s">
        <v>68</v>
      </c>
      <c r="J64" s="2"/>
      <c r="R64" s="2"/>
      <c r="S64" s="2"/>
      <c r="T64" s="2"/>
      <c r="W64" s="204"/>
      <c r="X64" s="198"/>
      <c r="Y64" s="205"/>
      <c r="Z64" s="206"/>
      <c r="AA64" s="18"/>
      <c r="AB64" s="18"/>
      <c r="AC64" s="18"/>
      <c r="AD64" s="18"/>
      <c r="AF64" s="204"/>
      <c r="AG64" s="198"/>
      <c r="AH64" s="205"/>
      <c r="AI64" s="206"/>
      <c r="AJ64" s="207"/>
      <c r="AK64" s="207"/>
      <c r="AL64" s="207"/>
      <c r="AM64" s="207"/>
    </row>
    <row r="65" spans="1:39">
      <c r="A65" s="7"/>
      <c r="B65" s="8" t="s">
        <v>19</v>
      </c>
      <c r="C65" s="8" t="s">
        <v>18</v>
      </c>
      <c r="D65" s="8" t="s">
        <v>279</v>
      </c>
      <c r="E65" s="8" t="s">
        <v>18</v>
      </c>
      <c r="F65" s="8" t="s">
        <v>17</v>
      </c>
      <c r="G65" s="164" t="s">
        <v>17</v>
      </c>
      <c r="H65" s="56" t="s">
        <v>17</v>
      </c>
      <c r="J65" s="2"/>
      <c r="R65" s="2"/>
      <c r="S65" s="2"/>
      <c r="T65" s="2"/>
      <c r="W65" s="204"/>
      <c r="X65" s="198"/>
      <c r="Y65" s="205"/>
      <c r="Z65" s="206"/>
      <c r="AA65" s="18"/>
      <c r="AB65" s="18"/>
      <c r="AC65" s="18"/>
      <c r="AD65" s="18"/>
      <c r="AF65" s="204"/>
      <c r="AG65" s="198"/>
      <c r="AH65" s="205"/>
      <c r="AI65" s="206"/>
      <c r="AJ65" s="207"/>
      <c r="AK65" s="207"/>
      <c r="AL65" s="207"/>
      <c r="AM65" s="207"/>
    </row>
    <row r="66" spans="1:39" ht="45">
      <c r="A66" s="224" t="s">
        <v>1065</v>
      </c>
      <c r="B66" s="57">
        <v>7</v>
      </c>
      <c r="C66" s="57">
        <v>8</v>
      </c>
      <c r="D66" s="212">
        <v>80</v>
      </c>
      <c r="E66" s="221">
        <f t="shared" ref="E66:E71" si="52">D66-10</f>
        <v>70</v>
      </c>
      <c r="F66" s="221">
        <f t="shared" ref="F66:F77" si="53">(0.52*SQRT(C66)*E66^0.9*$B$32^0.8)/1000</f>
        <v>7.8796178754106014</v>
      </c>
      <c r="G66" s="220">
        <f t="shared" ref="G66:G71" si="54">MIN($C$34*$C$36*E66/1000,(2.3*SQRT($C$33*$C$34*$C$36))/1000+(F66/4),$C$34*$C$36*E66/1000*(SQRT(2+4*$C$33/($C$34*$C$36*E66^2))-1)+F66/4)</f>
        <v>5.7539958910348616</v>
      </c>
      <c r="H66" s="221">
        <f t="shared" ref="H66:H77" si="55">B66^0.9*G66</f>
        <v>33.155668091657937</v>
      </c>
      <c r="I66" s="196" t="s">
        <v>299</v>
      </c>
      <c r="J66" s="2"/>
      <c r="R66" s="2"/>
      <c r="S66" s="2"/>
      <c r="T66" s="2"/>
      <c r="W66" s="204"/>
      <c r="X66" s="198"/>
      <c r="Y66" s="205"/>
      <c r="Z66" s="206"/>
      <c r="AA66" s="18"/>
      <c r="AB66" s="18"/>
      <c r="AC66" s="18"/>
      <c r="AD66" s="18"/>
      <c r="AF66" s="204"/>
      <c r="AG66" s="198"/>
      <c r="AH66" s="205"/>
      <c r="AI66" s="206"/>
      <c r="AJ66" s="207"/>
      <c r="AK66" s="207"/>
      <c r="AL66" s="207"/>
      <c r="AM66" s="207"/>
    </row>
    <row r="67" spans="1:39" ht="45">
      <c r="A67" s="224" t="s">
        <v>1066</v>
      </c>
      <c r="B67" s="57">
        <v>10</v>
      </c>
      <c r="C67" s="57">
        <v>8</v>
      </c>
      <c r="D67" s="212">
        <v>80</v>
      </c>
      <c r="E67" s="221">
        <f t="shared" si="52"/>
        <v>70</v>
      </c>
      <c r="F67" s="221">
        <f t="shared" si="53"/>
        <v>7.8796178754106014</v>
      </c>
      <c r="G67" s="220">
        <f t="shared" si="54"/>
        <v>5.7539958910348616</v>
      </c>
      <c r="H67" s="221">
        <f t="shared" si="55"/>
        <v>45.70561398736492</v>
      </c>
      <c r="I67" s="196" t="s">
        <v>299</v>
      </c>
      <c r="J67" s="155"/>
      <c r="R67" s="2"/>
      <c r="S67" s="2"/>
      <c r="T67" s="2"/>
      <c r="W67" s="204"/>
      <c r="X67" s="198"/>
      <c r="Y67" s="205"/>
      <c r="Z67" s="206"/>
      <c r="AA67" s="18"/>
      <c r="AB67" s="18"/>
      <c r="AC67" s="18"/>
      <c r="AD67" s="18"/>
      <c r="AF67" s="204"/>
      <c r="AG67" s="198"/>
      <c r="AH67" s="205"/>
      <c r="AI67" s="206"/>
      <c r="AJ67" s="207"/>
      <c r="AK67" s="207"/>
      <c r="AL67" s="207"/>
      <c r="AM67" s="207"/>
    </row>
    <row r="68" spans="1:39" ht="45.75" thickBot="1">
      <c r="A68" s="585" t="s">
        <v>1067</v>
      </c>
      <c r="B68" s="562">
        <v>10</v>
      </c>
      <c r="C68" s="562">
        <v>8</v>
      </c>
      <c r="D68" s="518">
        <v>80</v>
      </c>
      <c r="E68" s="603">
        <f t="shared" si="52"/>
        <v>70</v>
      </c>
      <c r="F68" s="603">
        <f t="shared" si="53"/>
        <v>7.8796178754106014</v>
      </c>
      <c r="G68" s="602">
        <f t="shared" si="54"/>
        <v>5.7539958910348616</v>
      </c>
      <c r="H68" s="603">
        <f t="shared" si="55"/>
        <v>45.70561398736492</v>
      </c>
      <c r="I68" s="196" t="s">
        <v>299</v>
      </c>
      <c r="J68" s="155"/>
      <c r="R68" s="2"/>
      <c r="S68" s="2"/>
      <c r="T68" s="2"/>
      <c r="W68" s="204"/>
      <c r="X68" s="198"/>
      <c r="Y68" s="205"/>
      <c r="Z68" s="206"/>
      <c r="AA68" s="18"/>
      <c r="AB68" s="18"/>
      <c r="AC68" s="18"/>
      <c r="AD68" s="18"/>
      <c r="AF68" s="204"/>
      <c r="AG68" s="198"/>
      <c r="AH68" s="205"/>
      <c r="AI68" s="206"/>
      <c r="AJ68" s="207"/>
      <c r="AK68" s="207"/>
      <c r="AL68" s="207"/>
      <c r="AM68" s="207"/>
    </row>
    <row r="69" spans="1:39" ht="45">
      <c r="A69" s="269" t="s">
        <v>1068</v>
      </c>
      <c r="B69" s="261">
        <v>8</v>
      </c>
      <c r="C69" s="261">
        <v>8</v>
      </c>
      <c r="D69" s="260">
        <v>80</v>
      </c>
      <c r="E69" s="609">
        <f t="shared" si="52"/>
        <v>70</v>
      </c>
      <c r="F69" s="609">
        <f t="shared" si="53"/>
        <v>7.8796178754106014</v>
      </c>
      <c r="G69" s="608">
        <f t="shared" si="54"/>
        <v>5.7539958910348616</v>
      </c>
      <c r="H69" s="609">
        <f t="shared" si="55"/>
        <v>37.389575608935985</v>
      </c>
      <c r="I69" s="196" t="s">
        <v>299</v>
      </c>
      <c r="J69" s="155"/>
      <c r="R69" s="2"/>
      <c r="S69" s="2"/>
      <c r="T69" s="2"/>
      <c r="W69" s="204"/>
      <c r="X69" s="198"/>
      <c r="Y69" s="205"/>
      <c r="Z69" s="206"/>
      <c r="AA69" s="18"/>
      <c r="AB69" s="18"/>
      <c r="AC69" s="18"/>
      <c r="AD69" s="18"/>
      <c r="AF69" s="204"/>
      <c r="AG69" s="198"/>
      <c r="AH69" s="205"/>
      <c r="AI69" s="206"/>
      <c r="AJ69" s="207"/>
      <c r="AK69" s="207"/>
      <c r="AL69" s="207"/>
      <c r="AM69" s="207"/>
    </row>
    <row r="70" spans="1:39" ht="45">
      <c r="A70" s="224" t="s">
        <v>1069</v>
      </c>
      <c r="B70" s="261">
        <v>16</v>
      </c>
      <c r="C70" s="261">
        <v>8</v>
      </c>
      <c r="D70" s="260">
        <v>80</v>
      </c>
      <c r="E70" s="609">
        <f t="shared" si="52"/>
        <v>70</v>
      </c>
      <c r="F70" s="609">
        <f t="shared" si="53"/>
        <v>7.8796178754106014</v>
      </c>
      <c r="G70" s="608">
        <f t="shared" si="54"/>
        <v>5.7539958910348616</v>
      </c>
      <c r="H70" s="609">
        <f t="shared" si="55"/>
        <v>69.771415165394387</v>
      </c>
      <c r="I70" s="196" t="s">
        <v>299</v>
      </c>
      <c r="J70" s="218"/>
      <c r="R70" s="2"/>
      <c r="S70" s="2"/>
      <c r="T70" s="2"/>
      <c r="W70" s="204"/>
      <c r="X70" s="198"/>
      <c r="Y70" s="205"/>
      <c r="Z70" s="206"/>
      <c r="AA70" s="18"/>
      <c r="AB70" s="18"/>
      <c r="AC70" s="18"/>
      <c r="AD70" s="18"/>
      <c r="AF70" s="204"/>
      <c r="AG70" s="198"/>
      <c r="AH70" s="205"/>
      <c r="AI70" s="206"/>
      <c r="AJ70" s="207"/>
      <c r="AK70" s="207"/>
      <c r="AL70" s="207"/>
      <c r="AM70" s="207"/>
    </row>
    <row r="71" spans="1:39" ht="45.75" thickBot="1">
      <c r="A71" s="585" t="s">
        <v>1070</v>
      </c>
      <c r="B71" s="562">
        <v>16</v>
      </c>
      <c r="C71" s="562">
        <v>8</v>
      </c>
      <c r="D71" s="518">
        <v>80</v>
      </c>
      <c r="E71" s="603">
        <f t="shared" si="52"/>
        <v>70</v>
      </c>
      <c r="F71" s="603">
        <f t="shared" si="53"/>
        <v>7.8796178754106014</v>
      </c>
      <c r="G71" s="602">
        <f t="shared" si="54"/>
        <v>5.7539958910348616</v>
      </c>
      <c r="H71" s="603">
        <f t="shared" si="55"/>
        <v>69.771415165394387</v>
      </c>
      <c r="I71" s="196" t="s">
        <v>299</v>
      </c>
      <c r="J71" s="218"/>
      <c r="R71" s="2"/>
      <c r="S71" s="2"/>
      <c r="T71" s="2"/>
      <c r="W71" s="204"/>
      <c r="X71" s="198"/>
      <c r="Y71" s="205"/>
      <c r="Z71" s="206"/>
      <c r="AA71" s="18"/>
      <c r="AB71" s="18"/>
      <c r="AC71" s="18"/>
      <c r="AD71" s="18"/>
      <c r="AF71" s="204"/>
      <c r="AG71" s="198"/>
      <c r="AH71" s="205"/>
      <c r="AI71" s="206"/>
      <c r="AJ71" s="207"/>
      <c r="AK71" s="207"/>
      <c r="AL71" s="207"/>
      <c r="AM71" s="207"/>
    </row>
    <row r="72" spans="1:39" ht="45">
      <c r="A72" s="269" t="s">
        <v>1071</v>
      </c>
      <c r="B72" s="261">
        <v>8</v>
      </c>
      <c r="C72" s="261">
        <v>10</v>
      </c>
      <c r="D72" s="260">
        <v>100</v>
      </c>
      <c r="E72" s="609">
        <f t="shared" ref="E72:E77" si="56">D72-15</f>
        <v>85</v>
      </c>
      <c r="F72" s="609">
        <f t="shared" si="53"/>
        <v>10.491774806064372</v>
      </c>
      <c r="G72" s="608">
        <f t="shared" ref="G72" si="57">MIN($B$34*$B$36*E72/1000,(2.3*SQRT($B$33*$B$34*$B$36))/1000+(F72/4),$B$34*$B$36*E72/1000*(SQRT(2+4*$B$33/($B$34*$B$36*E72^2))-1)+F72/4)</f>
        <v>8.0354591525640107</v>
      </c>
      <c r="H72" s="609">
        <f t="shared" si="55"/>
        <v>52.214567619942095</v>
      </c>
      <c r="I72" s="196" t="s">
        <v>299</v>
      </c>
      <c r="J72" s="218"/>
      <c r="R72" s="2"/>
      <c r="S72" s="2"/>
      <c r="T72" s="2"/>
      <c r="W72" s="204"/>
      <c r="X72" s="198"/>
      <c r="Y72" s="205"/>
      <c r="Z72" s="206"/>
      <c r="AA72" s="18"/>
      <c r="AB72" s="18"/>
      <c r="AC72" s="18"/>
      <c r="AD72" s="18"/>
      <c r="AF72" s="204"/>
      <c r="AG72" s="198"/>
      <c r="AH72" s="205"/>
      <c r="AI72" s="206"/>
      <c r="AJ72" s="207"/>
      <c r="AK72" s="207"/>
      <c r="AL72" s="207"/>
      <c r="AM72" s="207"/>
    </row>
    <row r="73" spans="1:39" ht="45">
      <c r="A73" s="224" t="s">
        <v>1072</v>
      </c>
      <c r="B73" s="261">
        <v>16</v>
      </c>
      <c r="C73" s="261">
        <v>10</v>
      </c>
      <c r="D73" s="260">
        <v>100</v>
      </c>
      <c r="E73" s="609">
        <f t="shared" si="56"/>
        <v>85</v>
      </c>
      <c r="F73" s="609">
        <f t="shared" si="53"/>
        <v>10.491774806064372</v>
      </c>
      <c r="G73" s="608">
        <f t="shared" ref="G73:G77" si="58">MIN($B$34*$B$36*E73/1000,(2.3*SQRT($B$33*$B$34*$B$36))/1000+(F73/4),$B$34*$B$36*E73/1000*(SQRT(2+4*$B$33/($B$34*$B$36*E73^2))-1)+F73/4)</f>
        <v>8.0354591525640107</v>
      </c>
      <c r="H73" s="609">
        <f t="shared" si="55"/>
        <v>97.435828456471</v>
      </c>
      <c r="I73" s="196" t="s">
        <v>299</v>
      </c>
      <c r="J73" s="218"/>
      <c r="R73" s="2"/>
      <c r="S73" s="2"/>
      <c r="T73" s="2"/>
      <c r="W73" s="204"/>
      <c r="X73" s="198"/>
      <c r="Y73" s="205"/>
      <c r="Z73" s="206"/>
      <c r="AA73" s="18"/>
      <c r="AB73" s="18"/>
      <c r="AC73" s="18"/>
      <c r="AD73" s="18"/>
      <c r="AF73" s="204"/>
      <c r="AG73" s="198"/>
      <c r="AH73" s="205"/>
      <c r="AI73" s="206"/>
      <c r="AJ73" s="208"/>
      <c r="AK73" s="208"/>
      <c r="AL73" s="208"/>
      <c r="AM73" s="208"/>
    </row>
    <row r="74" spans="1:39" ht="45.75" thickBot="1">
      <c r="A74" s="585" t="s">
        <v>1073</v>
      </c>
      <c r="B74" s="562">
        <v>16</v>
      </c>
      <c r="C74" s="562">
        <v>10</v>
      </c>
      <c r="D74" s="518">
        <v>100</v>
      </c>
      <c r="E74" s="603">
        <f t="shared" si="56"/>
        <v>85</v>
      </c>
      <c r="F74" s="603">
        <f t="shared" si="53"/>
        <v>10.491774806064372</v>
      </c>
      <c r="G74" s="602">
        <f t="shared" si="58"/>
        <v>8.0354591525640107</v>
      </c>
      <c r="H74" s="603">
        <f t="shared" si="55"/>
        <v>97.435828456471</v>
      </c>
      <c r="I74" s="196" t="s">
        <v>299</v>
      </c>
      <c r="J74" s="218"/>
      <c r="R74" s="2"/>
      <c r="S74" s="2"/>
      <c r="T74" s="2"/>
      <c r="W74" s="204"/>
      <c r="X74" s="198"/>
      <c r="Y74" s="205"/>
      <c r="Z74" s="206"/>
      <c r="AA74" s="18"/>
      <c r="AB74" s="18"/>
      <c r="AC74" s="18"/>
      <c r="AD74" s="18"/>
      <c r="AF74" s="204"/>
      <c r="AG74" s="198"/>
      <c r="AH74" s="205"/>
      <c r="AI74" s="206"/>
      <c r="AJ74" s="208"/>
      <c r="AK74" s="208"/>
      <c r="AL74" s="208"/>
      <c r="AM74" s="208"/>
    </row>
    <row r="75" spans="1:39" ht="45">
      <c r="A75" s="269" t="s">
        <v>1074</v>
      </c>
      <c r="B75" s="261">
        <v>8</v>
      </c>
      <c r="C75" s="261">
        <v>10</v>
      </c>
      <c r="D75" s="260">
        <v>100</v>
      </c>
      <c r="E75" s="609">
        <f t="shared" si="56"/>
        <v>85</v>
      </c>
      <c r="F75" s="609">
        <f t="shared" si="53"/>
        <v>10.491774806064372</v>
      </c>
      <c r="G75" s="608">
        <f t="shared" ref="G75" si="59">MIN($B$34*$B$36*E75/1000,(2.3*SQRT($B$33*$B$34*$B$36))/1000+(F75/4),$B$34*$B$36*E75/1000*(SQRT(2+4*$B$33/($B$34*$B$36*E75^2))-1)+F75/4)</f>
        <v>8.0354591525640107</v>
      </c>
      <c r="H75" s="609">
        <f t="shared" si="55"/>
        <v>52.214567619942095</v>
      </c>
      <c r="I75" s="196" t="s">
        <v>299</v>
      </c>
      <c r="J75" s="218"/>
      <c r="R75" s="2"/>
      <c r="S75" s="2"/>
      <c r="T75" s="2"/>
      <c r="W75" s="204"/>
      <c r="X75" s="198"/>
      <c r="Y75" s="205"/>
      <c r="Z75" s="206"/>
      <c r="AA75" s="18"/>
      <c r="AB75" s="18"/>
      <c r="AC75" s="18"/>
      <c r="AD75" s="18"/>
      <c r="AF75" s="204"/>
      <c r="AG75" s="198"/>
      <c r="AH75" s="205"/>
      <c r="AI75" s="206"/>
      <c r="AJ75" s="208"/>
      <c r="AK75" s="208"/>
      <c r="AL75" s="208"/>
      <c r="AM75" s="208"/>
    </row>
    <row r="76" spans="1:39" ht="45">
      <c r="A76" s="224" t="s">
        <v>1075</v>
      </c>
      <c r="B76" s="261">
        <v>25</v>
      </c>
      <c r="C76" s="261">
        <v>10</v>
      </c>
      <c r="D76" s="260">
        <v>100</v>
      </c>
      <c r="E76" s="609">
        <f t="shared" si="56"/>
        <v>85</v>
      </c>
      <c r="F76" s="609">
        <f t="shared" si="53"/>
        <v>10.491774806064372</v>
      </c>
      <c r="G76" s="608">
        <f t="shared" si="58"/>
        <v>8.0354591525640107</v>
      </c>
      <c r="H76" s="609">
        <f t="shared" si="55"/>
        <v>145.59843455228011</v>
      </c>
      <c r="I76" s="196" t="s">
        <v>299</v>
      </c>
      <c r="J76" s="218"/>
      <c r="R76" s="2"/>
      <c r="S76" s="2"/>
      <c r="T76" s="2"/>
      <c r="W76" s="204"/>
      <c r="X76" s="198"/>
      <c r="Y76" s="205"/>
      <c r="Z76" s="206"/>
      <c r="AA76" s="18"/>
      <c r="AB76" s="18"/>
      <c r="AC76" s="18"/>
      <c r="AD76" s="18"/>
      <c r="AF76" s="204"/>
      <c r="AG76" s="198"/>
      <c r="AH76" s="205"/>
      <c r="AI76" s="206"/>
      <c r="AJ76" s="208"/>
      <c r="AK76" s="208"/>
      <c r="AL76" s="208"/>
      <c r="AM76" s="208"/>
    </row>
    <row r="77" spans="1:39" ht="45.75" thickBot="1">
      <c r="A77" s="585" t="s">
        <v>1076</v>
      </c>
      <c r="B77" s="562">
        <v>25</v>
      </c>
      <c r="C77" s="562">
        <v>10</v>
      </c>
      <c r="D77" s="518">
        <v>100</v>
      </c>
      <c r="E77" s="603">
        <f t="shared" si="56"/>
        <v>85</v>
      </c>
      <c r="F77" s="603">
        <f t="shared" si="53"/>
        <v>10.491774806064372</v>
      </c>
      <c r="G77" s="602">
        <f t="shared" si="58"/>
        <v>8.0354591525640107</v>
      </c>
      <c r="H77" s="603">
        <f t="shared" si="55"/>
        <v>145.59843455228011</v>
      </c>
      <c r="I77" s="196" t="s">
        <v>299</v>
      </c>
      <c r="J77" s="218"/>
      <c r="R77" s="2"/>
      <c r="S77" s="2"/>
      <c r="T77" s="2"/>
      <c r="W77" s="204"/>
      <c r="X77" s="198"/>
      <c r="Y77" s="205"/>
      <c r="Z77" s="206"/>
      <c r="AA77" s="18"/>
      <c r="AB77" s="18"/>
      <c r="AC77" s="18"/>
      <c r="AD77" s="18"/>
      <c r="AF77" s="204"/>
      <c r="AG77" s="198"/>
      <c r="AH77" s="205"/>
      <c r="AI77" s="206"/>
      <c r="AJ77" s="208"/>
      <c r="AK77" s="208"/>
      <c r="AL77" s="208"/>
      <c r="AM77" s="208"/>
    </row>
    <row r="78" spans="1:39" ht="20.25" thickBot="1">
      <c r="A78" s="423"/>
      <c r="B78" s="613" t="s">
        <v>1108</v>
      </c>
      <c r="C78" s="613" t="s">
        <v>1109</v>
      </c>
      <c r="D78" s="507" t="s">
        <v>41</v>
      </c>
      <c r="E78" s="423" t="s">
        <v>1110</v>
      </c>
      <c r="F78" s="613" t="s">
        <v>1111</v>
      </c>
      <c r="G78" s="614" t="s">
        <v>9</v>
      </c>
      <c r="H78" s="613" t="s">
        <v>1116</v>
      </c>
      <c r="I78" s="614" t="s">
        <v>42</v>
      </c>
      <c r="J78" s="614" t="s">
        <v>66</v>
      </c>
      <c r="K78" s="614" t="s">
        <v>1117</v>
      </c>
      <c r="L78" s="615" t="s">
        <v>1118</v>
      </c>
      <c r="M78" s="615" t="s">
        <v>1119</v>
      </c>
      <c r="Z78" s="206"/>
      <c r="AA78" s="18"/>
      <c r="AB78" s="18"/>
      <c r="AC78" s="18"/>
      <c r="AD78" s="18"/>
      <c r="AF78" s="204"/>
      <c r="AG78" s="198"/>
      <c r="AH78" s="205"/>
      <c r="AI78" s="206"/>
      <c r="AJ78" s="208"/>
      <c r="AK78" s="208"/>
      <c r="AL78" s="208"/>
      <c r="AM78" s="208"/>
    </row>
    <row r="79" spans="1:39">
      <c r="A79" s="721" t="s">
        <v>297</v>
      </c>
      <c r="B79" s="724">
        <v>28</v>
      </c>
      <c r="C79" s="724">
        <f>B79^0.9</f>
        <v>20.065141567878999</v>
      </c>
      <c r="D79" s="617">
        <f>B79-D80</f>
        <v>25</v>
      </c>
      <c r="E79" s="618">
        <f>D79/B79</f>
        <v>0.8928571428571429</v>
      </c>
      <c r="F79" s="619">
        <f>C79*E79</f>
        <v>17.915304971320538</v>
      </c>
      <c r="G79" s="620">
        <v>10</v>
      </c>
      <c r="H79" s="621">
        <v>100</v>
      </c>
      <c r="I79" s="622">
        <f>H79-15</f>
        <v>85</v>
      </c>
      <c r="J79" s="623">
        <f>(0.52*SQRT(G79)*I79^0.9*$B$32^0.8)/1000</f>
        <v>10.491774806064372</v>
      </c>
      <c r="K79" s="623">
        <f t="shared" ref="K79" si="60">MIN($B$34*$B$36*I79/1000,(2.3*SQRT($B$33*$B$34*$B$36))/1000+(J79/4),$B$34*$B$36*I79/1000*(SQRT(2+4*$B$33/($B$34*$B$36*I79^2))-1)+J79/4)</f>
        <v>8.0354591525640107</v>
      </c>
      <c r="L79" s="622">
        <f>F79*K79</f>
        <v>143.95770130277313</v>
      </c>
      <c r="M79" s="727">
        <f>L79+L80</f>
        <v>160.63189169983193</v>
      </c>
      <c r="Z79" s="206"/>
      <c r="AA79" s="18"/>
      <c r="AB79" s="18"/>
      <c r="AC79" s="18"/>
      <c r="AD79" s="18"/>
      <c r="AF79" s="204"/>
      <c r="AG79" s="198"/>
      <c r="AH79" s="205"/>
      <c r="AI79" s="206"/>
      <c r="AJ79" s="208"/>
      <c r="AK79" s="208"/>
      <c r="AL79" s="208"/>
      <c r="AM79" s="208"/>
    </row>
    <row r="80" spans="1:39" ht="15.75" thickBot="1">
      <c r="A80" s="722"/>
      <c r="B80" s="725"/>
      <c r="C80" s="725"/>
      <c r="D80" s="515">
        <v>3</v>
      </c>
      <c r="E80" s="516">
        <f>D80/B79</f>
        <v>0.10714285714285714</v>
      </c>
      <c r="F80" s="517">
        <f>C79*E80</f>
        <v>2.149836596558464</v>
      </c>
      <c r="G80" s="625">
        <v>10</v>
      </c>
      <c r="H80" s="37">
        <v>100</v>
      </c>
      <c r="I80" s="519">
        <f>H80-25</f>
        <v>75</v>
      </c>
      <c r="J80" s="520">
        <f t="shared" ref="J80:J84" si="61">(0.52*SQRT(G80)*I80^0.9*$B$32^0.8)/1000</f>
        <v>9.3740456535592109</v>
      </c>
      <c r="K80" s="520">
        <f t="shared" ref="K80:K84" si="62">MIN($B$34*$B$36*I80/1000,(2.3*SQRT($B$33*$B$34*$B$36))/1000+(J80/4),$B$34*$B$36*I80/1000*(SQRT(2+4*$B$33/($B$34*$B$36*I80^2))-1)+J80/4)</f>
        <v>7.7560268644377199</v>
      </c>
      <c r="L80" s="519">
        <f t="shared" ref="L80:L84" si="63">F80*K80</f>
        <v>16.674190397058805</v>
      </c>
      <c r="M80" s="728"/>
      <c r="Z80" s="206"/>
      <c r="AA80" s="18"/>
      <c r="AB80" s="18"/>
      <c r="AC80" s="18"/>
      <c r="AD80" s="18"/>
      <c r="AF80" s="204"/>
      <c r="AG80" s="198"/>
      <c r="AH80" s="205"/>
      <c r="AI80" s="206"/>
      <c r="AJ80" s="208"/>
      <c r="AK80" s="208"/>
      <c r="AL80" s="208"/>
      <c r="AM80" s="208"/>
    </row>
    <row r="81" spans="1:39">
      <c r="A81" s="721" t="s">
        <v>725</v>
      </c>
      <c r="B81" s="724">
        <v>28</v>
      </c>
      <c r="C81" s="724">
        <f>B81^0.9</f>
        <v>20.065141567878999</v>
      </c>
      <c r="D81" s="617">
        <f>B81-D82</f>
        <v>25</v>
      </c>
      <c r="E81" s="618">
        <f t="shared" ref="E81" si="64">D81/B81</f>
        <v>0.8928571428571429</v>
      </c>
      <c r="F81" s="619">
        <f t="shared" ref="F81" si="65">C81*E81</f>
        <v>17.915304971320538</v>
      </c>
      <c r="G81" s="620">
        <v>10</v>
      </c>
      <c r="H81" s="621">
        <v>100</v>
      </c>
      <c r="I81" s="622">
        <f>H81-15</f>
        <v>85</v>
      </c>
      <c r="J81" s="623">
        <f t="shared" si="61"/>
        <v>10.491774806064372</v>
      </c>
      <c r="K81" s="623">
        <f t="shared" si="62"/>
        <v>8.0354591525640107</v>
      </c>
      <c r="L81" s="622">
        <f t="shared" si="63"/>
        <v>143.95770130277313</v>
      </c>
      <c r="M81" s="727">
        <f>L81+L82</f>
        <v>160.63189169983193</v>
      </c>
      <c r="Z81" s="206"/>
      <c r="AA81" s="18"/>
      <c r="AB81" s="18"/>
      <c r="AC81" s="18"/>
      <c r="AD81" s="18"/>
      <c r="AF81" s="204"/>
      <c r="AG81" s="198"/>
      <c r="AH81" s="205"/>
      <c r="AI81" s="206"/>
      <c r="AJ81" s="208"/>
      <c r="AK81" s="208"/>
      <c r="AL81" s="208"/>
      <c r="AM81" s="208"/>
    </row>
    <row r="82" spans="1:39" ht="15.75" thickBot="1">
      <c r="A82" s="722"/>
      <c r="B82" s="725"/>
      <c r="C82" s="725"/>
      <c r="D82" s="515">
        <v>3</v>
      </c>
      <c r="E82" s="516">
        <f t="shared" ref="E82" si="66">D82/B81</f>
        <v>0.10714285714285714</v>
      </c>
      <c r="F82" s="517">
        <f t="shared" ref="F82" si="67">C81*E82</f>
        <v>2.149836596558464</v>
      </c>
      <c r="G82" s="625">
        <v>10</v>
      </c>
      <c r="H82" s="37">
        <v>100</v>
      </c>
      <c r="I82" s="519">
        <f>H82-25</f>
        <v>75</v>
      </c>
      <c r="J82" s="520">
        <f t="shared" si="61"/>
        <v>9.3740456535592109</v>
      </c>
      <c r="K82" s="520">
        <f t="shared" si="62"/>
        <v>7.7560268644377199</v>
      </c>
      <c r="L82" s="519">
        <f t="shared" si="63"/>
        <v>16.674190397058805</v>
      </c>
      <c r="M82" s="728"/>
      <c r="Z82" s="206"/>
      <c r="AA82" s="18"/>
      <c r="AB82" s="18"/>
      <c r="AC82" s="18"/>
      <c r="AD82" s="18"/>
      <c r="AF82" s="204"/>
      <c r="AG82" s="198"/>
      <c r="AH82" s="205"/>
      <c r="AI82" s="206"/>
      <c r="AJ82" s="208"/>
      <c r="AK82" s="208"/>
      <c r="AL82" s="208"/>
      <c r="AM82" s="208"/>
    </row>
    <row r="83" spans="1:39">
      <c r="A83" s="723" t="s">
        <v>298</v>
      </c>
      <c r="B83" s="726">
        <v>28</v>
      </c>
      <c r="C83" s="726">
        <f>B83^0.9</f>
        <v>20.065141567878999</v>
      </c>
      <c r="D83" s="510">
        <f>B83-D84</f>
        <v>25</v>
      </c>
      <c r="E83" s="511">
        <f t="shared" ref="E83" si="68">D83/B83</f>
        <v>0.8928571428571429</v>
      </c>
      <c r="F83" s="512">
        <f t="shared" ref="F83" si="69">C83*E83</f>
        <v>17.915304971320538</v>
      </c>
      <c r="G83" s="626">
        <v>10</v>
      </c>
      <c r="H83" s="260">
        <v>100</v>
      </c>
      <c r="I83" s="513">
        <f>H83-15</f>
        <v>85</v>
      </c>
      <c r="J83" s="514">
        <f t="shared" si="61"/>
        <v>10.491774806064372</v>
      </c>
      <c r="K83" s="514">
        <f t="shared" si="62"/>
        <v>8.0354591525640107</v>
      </c>
      <c r="L83" s="513">
        <f t="shared" si="63"/>
        <v>143.95770130277313</v>
      </c>
      <c r="M83" s="729">
        <f>L83+L84</f>
        <v>160.63189169983193</v>
      </c>
      <c r="Z83" s="206"/>
      <c r="AA83" s="18"/>
      <c r="AB83" s="18"/>
      <c r="AC83" s="18"/>
      <c r="AD83" s="18"/>
      <c r="AF83" s="204"/>
      <c r="AG83" s="198"/>
      <c r="AH83" s="205"/>
      <c r="AI83" s="206"/>
      <c r="AJ83" s="208"/>
      <c r="AK83" s="208"/>
      <c r="AL83" s="208"/>
      <c r="AM83" s="209"/>
    </row>
    <row r="84" spans="1:39" ht="15.75" thickBot="1">
      <c r="A84" s="722"/>
      <c r="B84" s="725"/>
      <c r="C84" s="725"/>
      <c r="D84" s="515">
        <v>3</v>
      </c>
      <c r="E84" s="516">
        <f t="shared" ref="E84" si="70">D84/B83</f>
        <v>0.10714285714285714</v>
      </c>
      <c r="F84" s="517">
        <f t="shared" ref="F84" si="71">C83*E84</f>
        <v>2.149836596558464</v>
      </c>
      <c r="G84" s="625">
        <v>10</v>
      </c>
      <c r="H84" s="518">
        <v>100</v>
      </c>
      <c r="I84" s="519">
        <f>H84-25</f>
        <v>75</v>
      </c>
      <c r="J84" s="520">
        <f t="shared" si="61"/>
        <v>9.3740456535592109</v>
      </c>
      <c r="K84" s="520">
        <f t="shared" si="62"/>
        <v>7.7560268644377199</v>
      </c>
      <c r="L84" s="519">
        <f t="shared" si="63"/>
        <v>16.674190397058805</v>
      </c>
      <c r="M84" s="728"/>
      <c r="Z84" s="206"/>
      <c r="AA84" s="18"/>
      <c r="AB84" s="18"/>
      <c r="AC84" s="18"/>
      <c r="AD84" s="18"/>
      <c r="AF84" s="204"/>
      <c r="AG84" s="198"/>
      <c r="AH84" s="205"/>
      <c r="AI84" s="206"/>
      <c r="AJ84" s="208"/>
      <c r="AK84" s="208"/>
      <c r="AL84" s="208"/>
      <c r="AM84" s="209"/>
    </row>
    <row r="85" spans="1:39" ht="15.75" customHeight="1">
      <c r="C85" s="71"/>
      <c r="Z85" s="206"/>
      <c r="AA85" s="18"/>
      <c r="AB85" s="18"/>
      <c r="AC85" s="18"/>
      <c r="AD85" s="18"/>
      <c r="AF85" s="204"/>
      <c r="AG85" s="198"/>
      <c r="AH85" s="205"/>
      <c r="AI85" s="206"/>
      <c r="AJ85" s="207"/>
      <c r="AK85" s="207"/>
      <c r="AL85" s="207"/>
      <c r="AM85" s="207"/>
    </row>
    <row r="86" spans="1:39" ht="15.75" customHeight="1">
      <c r="E86" t="s">
        <v>69</v>
      </c>
      <c r="Q86" s="2"/>
      <c r="R86" s="2"/>
      <c r="S86" s="2"/>
      <c r="T86" s="2"/>
      <c r="W86" s="204"/>
      <c r="X86" s="198"/>
      <c r="Y86" s="205"/>
      <c r="Z86" s="206"/>
      <c r="AA86" s="18"/>
      <c r="AB86" s="18"/>
      <c r="AC86" s="18"/>
      <c r="AD86" s="18"/>
      <c r="AF86" s="204"/>
      <c r="AG86" s="198"/>
      <c r="AH86" s="205"/>
      <c r="AI86" s="206"/>
      <c r="AJ86" s="207"/>
      <c r="AK86" s="207"/>
      <c r="AL86" s="207"/>
      <c r="AM86" s="207"/>
    </row>
    <row r="87" spans="1:39" ht="18">
      <c r="A87" s="3" t="s">
        <v>2</v>
      </c>
      <c r="B87" s="72" t="s">
        <v>58</v>
      </c>
      <c r="C87" s="72" t="s">
        <v>70</v>
      </c>
      <c r="D87" s="4" t="s">
        <v>71</v>
      </c>
      <c r="E87" s="72" t="s">
        <v>72</v>
      </c>
      <c r="F87" s="73" t="s">
        <v>81</v>
      </c>
      <c r="H87" s="628"/>
      <c r="P87" s="3" t="s">
        <v>2</v>
      </c>
      <c r="Q87" s="664" t="s">
        <v>300</v>
      </c>
      <c r="R87" s="665"/>
      <c r="S87" s="665"/>
      <c r="T87" s="665"/>
      <c r="U87" s="665"/>
      <c r="V87" s="666"/>
      <c r="W87" s="204"/>
      <c r="X87" s="198"/>
      <c r="Y87" s="205"/>
      <c r="Z87" s="206"/>
      <c r="AA87" s="18"/>
      <c r="AB87" s="18"/>
      <c r="AC87" s="18"/>
      <c r="AD87" s="18"/>
      <c r="AF87" s="204"/>
      <c r="AG87" s="198"/>
      <c r="AH87" s="205"/>
      <c r="AI87" s="206"/>
      <c r="AJ87" s="207"/>
      <c r="AK87" s="207"/>
      <c r="AL87" s="207"/>
      <c r="AM87" s="207"/>
    </row>
    <row r="88" spans="1:39">
      <c r="A88" s="7"/>
      <c r="B88" s="75" t="s">
        <v>17</v>
      </c>
      <c r="C88" s="76" t="s">
        <v>17</v>
      </c>
      <c r="D88" s="8" t="s">
        <v>75</v>
      </c>
      <c r="E88" s="76" t="s">
        <v>17</v>
      </c>
      <c r="F88" s="77" t="s">
        <v>17</v>
      </c>
      <c r="H88" s="628"/>
      <c r="P88" s="7"/>
      <c r="Q88" s="10">
        <v>0.6</v>
      </c>
      <c r="R88" s="10">
        <v>0.7</v>
      </c>
      <c r="S88" s="10">
        <v>0.8</v>
      </c>
      <c r="T88" s="10">
        <v>0.9</v>
      </c>
      <c r="U88" s="10">
        <v>1</v>
      </c>
      <c r="V88" s="10">
        <v>1.1000000000000001</v>
      </c>
      <c r="W88" s="204"/>
      <c r="X88" s="198"/>
      <c r="Y88" s="205"/>
      <c r="Z88" s="206"/>
      <c r="AA88" s="18"/>
      <c r="AB88" s="18"/>
      <c r="AC88" s="18"/>
      <c r="AD88" s="18"/>
      <c r="AF88" s="204"/>
      <c r="AG88" s="198"/>
      <c r="AH88" s="205"/>
      <c r="AI88" s="206"/>
      <c r="AJ88" s="207"/>
      <c r="AK88" s="207"/>
      <c r="AL88" s="207"/>
      <c r="AM88" s="210"/>
    </row>
    <row r="89" spans="1:39" ht="45">
      <c r="A89" s="224" t="s">
        <v>1065</v>
      </c>
      <c r="B89" s="212">
        <f t="shared" ref="B89:B100" si="72">H42</f>
        <v>26.907286476487887</v>
      </c>
      <c r="C89" s="125">
        <v>60</v>
      </c>
      <c r="D89" s="212">
        <v>10.7</v>
      </c>
      <c r="E89" s="221">
        <f t="shared" ref="E89:E100" si="73">1/SQRT((1/H66)^2+(1/(D89*F66))^2)</f>
        <v>30.855559246041057</v>
      </c>
      <c r="F89" s="221">
        <f>MIN(B89,E89)</f>
        <v>26.907286476487887</v>
      </c>
      <c r="H89" s="628"/>
      <c r="P89" s="224" t="s">
        <v>1065</v>
      </c>
      <c r="Q89" s="225">
        <f t="shared" ref="Q89:V103" si="74">MIN(Q$88*$B89/1.3,$C89/1,Q$88*$E89/1.3)</f>
        <v>12.41874760453287</v>
      </c>
      <c r="R89" s="225">
        <f t="shared" si="74"/>
        <v>14.488538871955015</v>
      </c>
      <c r="S89" s="225">
        <f t="shared" si="74"/>
        <v>16.558330139377162</v>
      </c>
      <c r="T89" s="225">
        <f t="shared" si="74"/>
        <v>18.628121406799306</v>
      </c>
      <c r="U89" s="225">
        <f t="shared" si="74"/>
        <v>20.697912674221449</v>
      </c>
      <c r="V89" s="225">
        <f t="shared" si="74"/>
        <v>22.767703941643596</v>
      </c>
      <c r="W89" s="204"/>
      <c r="X89" s="198"/>
      <c r="Y89" s="205"/>
      <c r="Z89" s="206"/>
      <c r="AA89" s="18"/>
      <c r="AB89" s="18"/>
      <c r="AC89" s="18"/>
      <c r="AD89" s="18"/>
      <c r="AF89" s="204"/>
      <c r="AG89" s="198"/>
      <c r="AH89" s="205"/>
      <c r="AI89" s="206"/>
      <c r="AJ89" s="207"/>
      <c r="AK89" s="207"/>
      <c r="AL89" s="207"/>
      <c r="AM89" s="210"/>
    </row>
    <row r="90" spans="1:39" ht="45">
      <c r="A90" s="224" t="s">
        <v>1066</v>
      </c>
      <c r="B90" s="212">
        <f t="shared" si="72"/>
        <v>37.092120892934879</v>
      </c>
      <c r="C90" s="125">
        <v>60</v>
      </c>
      <c r="D90" s="212">
        <v>10.7</v>
      </c>
      <c r="E90" s="221">
        <f t="shared" si="73"/>
        <v>40.18125965399701</v>
      </c>
      <c r="F90" s="221">
        <f>MIN(B90,E90)</f>
        <v>37.092120892934879</v>
      </c>
      <c r="H90" s="629"/>
      <c r="P90" s="224" t="s">
        <v>1066</v>
      </c>
      <c r="Q90" s="225">
        <f t="shared" si="74"/>
        <v>17.11944041212379</v>
      </c>
      <c r="R90" s="225">
        <f t="shared" si="74"/>
        <v>19.972680480811086</v>
      </c>
      <c r="S90" s="225">
        <f t="shared" si="74"/>
        <v>22.825920549498388</v>
      </c>
      <c r="T90" s="225">
        <f t="shared" si="74"/>
        <v>25.679160618185687</v>
      </c>
      <c r="U90" s="225">
        <f t="shared" si="74"/>
        <v>28.532400686872982</v>
      </c>
      <c r="V90" s="225">
        <f t="shared" si="74"/>
        <v>31.385640755560285</v>
      </c>
      <c r="W90" s="204"/>
      <c r="X90" s="198"/>
      <c r="Y90" s="205"/>
      <c r="Z90" s="206"/>
      <c r="AA90" s="18"/>
      <c r="AB90" s="18"/>
      <c r="AC90" s="18"/>
      <c r="AD90" s="18"/>
      <c r="AF90" s="204"/>
      <c r="AG90" s="198"/>
      <c r="AH90" s="205"/>
      <c r="AI90" s="206"/>
      <c r="AJ90" s="207"/>
      <c r="AK90" s="207"/>
      <c r="AL90" s="207"/>
      <c r="AM90" s="210"/>
    </row>
    <row r="91" spans="1:39" ht="45.75" thickBot="1">
      <c r="A91" s="585" t="s">
        <v>1067</v>
      </c>
      <c r="B91" s="518">
        <f t="shared" si="72"/>
        <v>45.862156586031894</v>
      </c>
      <c r="C91" s="630">
        <v>60</v>
      </c>
      <c r="D91" s="518">
        <v>10.7</v>
      </c>
      <c r="E91" s="603">
        <f t="shared" si="73"/>
        <v>40.18125965399701</v>
      </c>
      <c r="F91" s="603">
        <f t="shared" ref="F91:F103" si="75">MIN(B91,E91)</f>
        <v>40.18125965399701</v>
      </c>
      <c r="H91" s="629"/>
      <c r="P91" s="585" t="s">
        <v>1067</v>
      </c>
      <c r="Q91" s="604">
        <f t="shared" si="74"/>
        <v>18.545196763383235</v>
      </c>
      <c r="R91" s="604">
        <f t="shared" si="74"/>
        <v>21.636062890613772</v>
      </c>
      <c r="S91" s="604">
        <f t="shared" si="74"/>
        <v>24.726929017844313</v>
      </c>
      <c r="T91" s="604">
        <f t="shared" si="74"/>
        <v>27.817795145074854</v>
      </c>
      <c r="U91" s="604">
        <f t="shared" si="74"/>
        <v>30.908661272305391</v>
      </c>
      <c r="V91" s="604">
        <f t="shared" si="74"/>
        <v>33.999527399535936</v>
      </c>
      <c r="W91" s="204"/>
      <c r="X91" s="198"/>
      <c r="Y91" s="205"/>
      <c r="Z91" s="206"/>
      <c r="AA91" s="18"/>
      <c r="AB91" s="18"/>
      <c r="AC91" s="18"/>
      <c r="AD91" s="18"/>
      <c r="AF91" s="204"/>
      <c r="AG91" s="198"/>
      <c r="AH91" s="205"/>
      <c r="AI91" s="206"/>
      <c r="AJ91" s="207"/>
      <c r="AK91" s="207"/>
      <c r="AL91" s="207"/>
      <c r="AM91" s="210"/>
    </row>
    <row r="92" spans="1:39" ht="45">
      <c r="A92" s="269" t="s">
        <v>1068</v>
      </c>
      <c r="B92" s="260">
        <f t="shared" si="72"/>
        <v>30.343289098043243</v>
      </c>
      <c r="C92" s="631">
        <v>60</v>
      </c>
      <c r="D92" s="260">
        <v>27.8</v>
      </c>
      <c r="E92" s="609">
        <f t="shared" si="73"/>
        <v>36.856539602592946</v>
      </c>
      <c r="F92" s="609">
        <f t="shared" ref="F92" si="76">MIN(B92,E92)</f>
        <v>30.343289098043243</v>
      </c>
      <c r="H92" s="629"/>
      <c r="P92" s="269" t="s">
        <v>1068</v>
      </c>
      <c r="Q92" s="632">
        <f t="shared" si="74"/>
        <v>14.004594968327648</v>
      </c>
      <c r="R92" s="632">
        <f t="shared" si="74"/>
        <v>16.338694129715591</v>
      </c>
      <c r="S92" s="632">
        <f t="shared" si="74"/>
        <v>18.672793291103535</v>
      </c>
      <c r="T92" s="632">
        <f t="shared" si="74"/>
        <v>21.006892452491478</v>
      </c>
      <c r="U92" s="632">
        <f t="shared" si="74"/>
        <v>23.340991613879417</v>
      </c>
      <c r="V92" s="632">
        <f t="shared" si="74"/>
        <v>25.675090775267364</v>
      </c>
      <c r="W92" s="204"/>
      <c r="X92" s="198"/>
      <c r="Y92" s="205"/>
      <c r="Z92" s="206"/>
      <c r="AA92" s="18"/>
      <c r="AB92" s="18"/>
      <c r="AC92" s="18"/>
      <c r="AD92" s="18"/>
      <c r="AF92" s="204"/>
      <c r="AG92" s="198"/>
      <c r="AH92" s="205"/>
      <c r="AI92" s="206"/>
      <c r="AJ92" s="207"/>
      <c r="AK92" s="207"/>
      <c r="AL92" s="207"/>
      <c r="AM92" s="210"/>
    </row>
    <row r="93" spans="1:39" ht="45">
      <c r="A93" s="224" t="s">
        <v>1069</v>
      </c>
      <c r="B93" s="260">
        <f t="shared" si="72"/>
        <v>56.622579600426967</v>
      </c>
      <c r="C93" s="631">
        <v>60</v>
      </c>
      <c r="D93" s="260">
        <v>27.8</v>
      </c>
      <c r="E93" s="609">
        <f t="shared" si="73"/>
        <v>66.480609906200655</v>
      </c>
      <c r="F93" s="609">
        <f t="shared" si="75"/>
        <v>56.622579600426967</v>
      </c>
      <c r="H93" s="629"/>
      <c r="N93" s="94"/>
      <c r="O93" s="94"/>
      <c r="P93" s="224" t="s">
        <v>1069</v>
      </c>
      <c r="Q93" s="225">
        <f t="shared" si="74"/>
        <v>26.13349827712014</v>
      </c>
      <c r="R93" s="225">
        <f t="shared" si="74"/>
        <v>30.489081323306827</v>
      </c>
      <c r="S93" s="225">
        <f t="shared" si="74"/>
        <v>34.844664369493522</v>
      </c>
      <c r="T93" s="225">
        <f t="shared" si="74"/>
        <v>39.200247415680209</v>
      </c>
      <c r="U93" s="225">
        <f t="shared" si="74"/>
        <v>43.555830461866897</v>
      </c>
      <c r="V93" s="225">
        <f t="shared" si="74"/>
        <v>47.911413508053592</v>
      </c>
      <c r="W93" s="204"/>
      <c r="X93" s="198"/>
      <c r="Y93" s="205"/>
      <c r="Z93" s="206"/>
      <c r="AA93" s="18"/>
      <c r="AB93" s="18"/>
      <c r="AC93" s="18"/>
      <c r="AD93" s="18"/>
      <c r="AF93" s="204"/>
      <c r="AG93" s="198"/>
      <c r="AH93" s="205"/>
      <c r="AI93" s="206"/>
      <c r="AJ93" s="207"/>
      <c r="AK93" s="207"/>
      <c r="AL93" s="207"/>
      <c r="AM93" s="210"/>
    </row>
    <row r="94" spans="1:39" ht="45.75" thickBot="1">
      <c r="A94" s="585" t="s">
        <v>1070</v>
      </c>
      <c r="B94" s="518">
        <f t="shared" si="72"/>
        <v>70.01038359158558</v>
      </c>
      <c r="C94" s="630">
        <v>60</v>
      </c>
      <c r="D94" s="518">
        <v>27.8</v>
      </c>
      <c r="E94" s="603">
        <f t="shared" si="73"/>
        <v>66.480609906200655</v>
      </c>
      <c r="F94" s="603">
        <f t="shared" si="75"/>
        <v>66.480609906200655</v>
      </c>
      <c r="H94" s="629"/>
      <c r="N94" s="94"/>
      <c r="O94" s="94"/>
      <c r="P94" s="585" t="s">
        <v>1070</v>
      </c>
      <c r="Q94" s="604">
        <f t="shared" si="74"/>
        <v>30.683358418246456</v>
      </c>
      <c r="R94" s="604">
        <f t="shared" si="74"/>
        <v>35.797251487954192</v>
      </c>
      <c r="S94" s="604">
        <f t="shared" si="74"/>
        <v>40.911144557661942</v>
      </c>
      <c r="T94" s="604">
        <f t="shared" si="74"/>
        <v>46.025037627369684</v>
      </c>
      <c r="U94" s="604">
        <f t="shared" si="74"/>
        <v>51.138930697077427</v>
      </c>
      <c r="V94" s="604">
        <f t="shared" si="74"/>
        <v>56.25282376678517</v>
      </c>
      <c r="W94" s="204"/>
      <c r="X94" s="198"/>
      <c r="Y94" s="205"/>
      <c r="Z94" s="206"/>
      <c r="AA94" s="18"/>
      <c r="AB94" s="18"/>
      <c r="AC94" s="18"/>
      <c r="AD94" s="18"/>
      <c r="AF94" s="204"/>
      <c r="AG94" s="198"/>
      <c r="AH94" s="205"/>
      <c r="AI94" s="206"/>
      <c r="AJ94" s="208"/>
      <c r="AK94" s="208"/>
      <c r="AL94" s="208"/>
      <c r="AM94" s="208"/>
    </row>
    <row r="95" spans="1:39" ht="45">
      <c r="A95" s="269" t="s">
        <v>1071</v>
      </c>
      <c r="B95" s="260">
        <f t="shared" si="72"/>
        <v>42.334298094233297</v>
      </c>
      <c r="C95" s="631">
        <v>99</v>
      </c>
      <c r="D95" s="260">
        <v>27.8</v>
      </c>
      <c r="E95" s="609">
        <f t="shared" si="73"/>
        <v>51.397478851467305</v>
      </c>
      <c r="F95" s="609">
        <f t="shared" ref="F95" si="77">MIN(B95,E95)</f>
        <v>42.334298094233297</v>
      </c>
      <c r="H95" s="629"/>
      <c r="N95" s="94"/>
      <c r="O95" s="94"/>
      <c r="P95" s="269" t="s">
        <v>1071</v>
      </c>
      <c r="Q95" s="632">
        <f t="shared" si="74"/>
        <v>19.538906812723059</v>
      </c>
      <c r="R95" s="632">
        <f t="shared" si="74"/>
        <v>22.795391281510234</v>
      </c>
      <c r="S95" s="632">
        <f t="shared" si="74"/>
        <v>26.051875750297416</v>
      </c>
      <c r="T95" s="632">
        <f t="shared" si="74"/>
        <v>29.308360219084591</v>
      </c>
      <c r="U95" s="632">
        <f t="shared" si="74"/>
        <v>32.564844687871769</v>
      </c>
      <c r="V95" s="632">
        <f t="shared" si="74"/>
        <v>35.821329156658948</v>
      </c>
      <c r="W95" s="204"/>
      <c r="X95" s="198"/>
      <c r="Y95" s="205"/>
      <c r="Z95" s="206"/>
      <c r="AA95" s="18"/>
      <c r="AB95" s="18"/>
      <c r="AC95" s="18"/>
      <c r="AD95" s="18"/>
      <c r="AF95" s="204"/>
      <c r="AG95" s="198"/>
      <c r="AH95" s="205"/>
      <c r="AI95" s="206"/>
      <c r="AJ95" s="208"/>
      <c r="AK95" s="208"/>
      <c r="AL95" s="208"/>
      <c r="AM95" s="208"/>
    </row>
    <row r="96" spans="1:39" ht="45">
      <c r="A96" s="224" t="s">
        <v>1072</v>
      </c>
      <c r="B96" s="260">
        <f t="shared" si="72"/>
        <v>78.998593590946925</v>
      </c>
      <c r="C96" s="631">
        <v>99</v>
      </c>
      <c r="D96" s="260">
        <v>27.8</v>
      </c>
      <c r="E96" s="609">
        <f t="shared" si="73"/>
        <v>92.415567140008505</v>
      </c>
      <c r="F96" s="609">
        <f t="shared" si="75"/>
        <v>78.998593590946925</v>
      </c>
      <c r="H96" s="629"/>
      <c r="N96" s="94"/>
      <c r="O96" s="94"/>
      <c r="P96" s="224" t="s">
        <v>1072</v>
      </c>
      <c r="Q96" s="632">
        <f t="shared" si="74"/>
        <v>36.460889349667809</v>
      </c>
      <c r="R96" s="632">
        <f t="shared" si="74"/>
        <v>42.537704241279108</v>
      </c>
      <c r="S96" s="632">
        <f t="shared" si="74"/>
        <v>48.614519132890415</v>
      </c>
      <c r="T96" s="632">
        <f t="shared" si="74"/>
        <v>54.691334024501714</v>
      </c>
      <c r="U96" s="632">
        <f t="shared" si="74"/>
        <v>60.76814891611302</v>
      </c>
      <c r="V96" s="632">
        <f t="shared" si="74"/>
        <v>66.844963807724326</v>
      </c>
      <c r="W96" s="204"/>
      <c r="X96" s="198"/>
      <c r="Y96" s="205"/>
      <c r="Z96" s="206"/>
      <c r="AA96" s="18"/>
      <c r="AB96" s="18"/>
      <c r="AC96" s="18"/>
      <c r="AD96" s="18"/>
      <c r="AF96" s="204"/>
      <c r="AG96" s="198"/>
      <c r="AH96" s="205"/>
      <c r="AI96" s="206"/>
      <c r="AJ96" s="208"/>
      <c r="AK96" s="208"/>
      <c r="AL96" s="208"/>
      <c r="AM96" s="208"/>
    </row>
    <row r="97" spans="1:39" ht="45.75" thickBot="1">
      <c r="A97" s="585" t="s">
        <v>1073</v>
      </c>
      <c r="B97" s="518">
        <f t="shared" si="72"/>
        <v>97.305836160204535</v>
      </c>
      <c r="C97" s="630">
        <v>99</v>
      </c>
      <c r="D97" s="518">
        <v>27.8</v>
      </c>
      <c r="E97" s="603">
        <f t="shared" si="73"/>
        <v>92.415567140008505</v>
      </c>
      <c r="F97" s="603">
        <f t="shared" si="75"/>
        <v>92.415567140008505</v>
      </c>
      <c r="H97" s="629"/>
      <c r="N97" s="94"/>
      <c r="O97" s="94"/>
      <c r="P97" s="585" t="s">
        <v>1073</v>
      </c>
      <c r="Q97" s="604">
        <f t="shared" si="74"/>
        <v>42.653338680003927</v>
      </c>
      <c r="R97" s="604">
        <f t="shared" si="74"/>
        <v>49.762228460004579</v>
      </c>
      <c r="S97" s="604">
        <f t="shared" si="74"/>
        <v>56.871118240005231</v>
      </c>
      <c r="T97" s="604">
        <f t="shared" si="74"/>
        <v>63.980008020005883</v>
      </c>
      <c r="U97" s="604">
        <f t="shared" si="74"/>
        <v>71.088897800006535</v>
      </c>
      <c r="V97" s="604">
        <f t="shared" si="74"/>
        <v>78.197787580007201</v>
      </c>
      <c r="W97" s="204"/>
      <c r="X97" s="198"/>
      <c r="Y97" s="205"/>
      <c r="Z97" s="206"/>
      <c r="AA97" s="18"/>
      <c r="AB97" s="18"/>
      <c r="AC97" s="18"/>
      <c r="AD97" s="18"/>
      <c r="AF97" s="204"/>
      <c r="AG97" s="198"/>
      <c r="AH97" s="205"/>
      <c r="AI97" s="206"/>
      <c r="AJ97" s="208"/>
      <c r="AK97" s="208"/>
      <c r="AL97" s="208"/>
      <c r="AM97" s="208"/>
    </row>
    <row r="98" spans="1:39" ht="45">
      <c r="A98" s="269" t="s">
        <v>1074</v>
      </c>
      <c r="B98" s="260">
        <f t="shared" si="72"/>
        <v>42.334298094233297</v>
      </c>
      <c r="C98" s="631">
        <v>99</v>
      </c>
      <c r="D98" s="260">
        <v>68.400000000000006</v>
      </c>
      <c r="E98" s="609">
        <f t="shared" si="73"/>
        <v>52.076905395084687</v>
      </c>
      <c r="F98" s="609">
        <f t="shared" ref="F98" si="78">MIN(B98,E98)</f>
        <v>42.334298094233297</v>
      </c>
      <c r="H98" s="629"/>
      <c r="N98" s="94"/>
      <c r="O98" s="94"/>
      <c r="P98" s="269" t="s">
        <v>1074</v>
      </c>
      <c r="Q98" s="632">
        <f t="shared" si="74"/>
        <v>19.538906812723059</v>
      </c>
      <c r="R98" s="632">
        <f t="shared" si="74"/>
        <v>22.795391281510234</v>
      </c>
      <c r="S98" s="632">
        <f t="shared" si="74"/>
        <v>26.051875750297416</v>
      </c>
      <c r="T98" s="632">
        <f t="shared" si="74"/>
        <v>29.308360219084591</v>
      </c>
      <c r="U98" s="632">
        <f t="shared" si="74"/>
        <v>32.564844687871769</v>
      </c>
      <c r="V98" s="632">
        <f t="shared" si="74"/>
        <v>35.821329156658948</v>
      </c>
      <c r="W98" s="204"/>
      <c r="X98" s="198"/>
      <c r="Y98" s="205"/>
      <c r="Z98" s="206"/>
      <c r="AA98" s="18"/>
      <c r="AB98" s="18"/>
      <c r="AC98" s="18"/>
      <c r="AD98" s="18"/>
      <c r="AF98" s="204"/>
      <c r="AG98" s="198"/>
      <c r="AH98" s="205"/>
      <c r="AI98" s="206"/>
      <c r="AJ98" s="208"/>
      <c r="AK98" s="208"/>
      <c r="AL98" s="208"/>
      <c r="AM98" s="208"/>
    </row>
    <row r="99" spans="1:39" ht="45">
      <c r="A99" s="224" t="s">
        <v>1075</v>
      </c>
      <c r="B99" s="260">
        <f t="shared" si="72"/>
        <v>118.04766009468641</v>
      </c>
      <c r="C99" s="631">
        <v>99</v>
      </c>
      <c r="D99" s="260">
        <v>68.400000000000006</v>
      </c>
      <c r="E99" s="609">
        <f t="shared" si="73"/>
        <v>142.69127424794846</v>
      </c>
      <c r="F99" s="609">
        <f t="shared" si="75"/>
        <v>118.04766009468641</v>
      </c>
      <c r="H99" s="629"/>
      <c r="N99" s="94"/>
      <c r="O99" s="94"/>
      <c r="P99" s="224" t="s">
        <v>1075</v>
      </c>
      <c r="Q99" s="632">
        <f t="shared" si="74"/>
        <v>54.483535428316806</v>
      </c>
      <c r="R99" s="632">
        <f t="shared" si="74"/>
        <v>63.564124666369601</v>
      </c>
      <c r="S99" s="632">
        <f t="shared" si="74"/>
        <v>72.644713904422403</v>
      </c>
      <c r="T99" s="632">
        <f t="shared" si="74"/>
        <v>81.725303142475198</v>
      </c>
      <c r="U99" s="632">
        <f t="shared" si="74"/>
        <v>90.805892380528007</v>
      </c>
      <c r="V99" s="632">
        <f t="shared" si="74"/>
        <v>99</v>
      </c>
      <c r="W99" s="204"/>
      <c r="X99" s="198"/>
      <c r="Y99" s="205"/>
      <c r="Z99" s="206"/>
      <c r="AA99" s="18"/>
      <c r="AB99" s="18"/>
      <c r="AC99" s="18"/>
      <c r="AD99" s="18"/>
      <c r="AF99" s="204"/>
      <c r="AG99" s="198"/>
      <c r="AH99" s="205"/>
      <c r="AI99" s="206"/>
      <c r="AJ99" s="208"/>
      <c r="AK99" s="208"/>
      <c r="AL99" s="208"/>
      <c r="AM99" s="208"/>
    </row>
    <row r="100" spans="1:39" ht="45.75" thickBot="1">
      <c r="A100" s="585" t="s">
        <v>1076</v>
      </c>
      <c r="B100" s="518">
        <f t="shared" si="72"/>
        <v>145.4041869624553</v>
      </c>
      <c r="C100" s="630">
        <v>99</v>
      </c>
      <c r="D100" s="518">
        <v>68.400000000000006</v>
      </c>
      <c r="E100" s="603">
        <f t="shared" si="73"/>
        <v>142.69127424794846</v>
      </c>
      <c r="F100" s="603">
        <f t="shared" si="75"/>
        <v>142.69127424794846</v>
      </c>
      <c r="H100" s="629"/>
      <c r="N100" s="94"/>
      <c r="O100" s="94"/>
      <c r="P100" s="585" t="s">
        <v>1076</v>
      </c>
      <c r="Q100" s="604">
        <f t="shared" si="74"/>
        <v>65.857511191360828</v>
      </c>
      <c r="R100" s="604">
        <f t="shared" si="74"/>
        <v>76.833763056587628</v>
      </c>
      <c r="S100" s="604">
        <f t="shared" si="74"/>
        <v>87.810014921814428</v>
      </c>
      <c r="T100" s="604">
        <f t="shared" si="74"/>
        <v>98.786266787041242</v>
      </c>
      <c r="U100" s="604">
        <f t="shared" si="74"/>
        <v>99</v>
      </c>
      <c r="V100" s="604">
        <f t="shared" si="74"/>
        <v>99</v>
      </c>
      <c r="W100" s="204"/>
      <c r="X100" s="198"/>
      <c r="Y100" s="205"/>
      <c r="Z100" s="206"/>
      <c r="AA100" s="18"/>
      <c r="AB100" s="18"/>
      <c r="AC100" s="18"/>
      <c r="AD100" s="18"/>
      <c r="AF100" s="204"/>
      <c r="AG100" s="198"/>
      <c r="AH100" s="205"/>
      <c r="AI100" s="206"/>
      <c r="AJ100" s="208"/>
      <c r="AK100" s="208"/>
      <c r="AL100" s="208"/>
      <c r="AM100" s="208"/>
    </row>
    <row r="101" spans="1:39" ht="45">
      <c r="A101" s="269" t="s">
        <v>1077</v>
      </c>
      <c r="B101" s="260">
        <f>M55</f>
        <v>130.55707715016831</v>
      </c>
      <c r="C101" s="631">
        <v>180</v>
      </c>
      <c r="D101" s="260">
        <v>58</v>
      </c>
      <c r="E101" s="609">
        <f>1/SQRT((1/M79)^2+(1/(D101*J79))^2)</f>
        <v>155.31191951462577</v>
      </c>
      <c r="F101" s="609">
        <f t="shared" ref="F101" si="79">MIN(B101,E101)</f>
        <v>130.55707715016831</v>
      </c>
      <c r="H101" s="629"/>
      <c r="N101" s="94"/>
      <c r="O101" s="94"/>
      <c r="P101" s="269" t="s">
        <v>1077</v>
      </c>
      <c r="Q101" s="632">
        <f t="shared" si="74"/>
        <v>60.257112530846904</v>
      </c>
      <c r="R101" s="632">
        <f t="shared" si="74"/>
        <v>70.299964619321401</v>
      </c>
      <c r="S101" s="632">
        <f t="shared" si="74"/>
        <v>80.342816707795876</v>
      </c>
      <c r="T101" s="632">
        <f t="shared" si="74"/>
        <v>90.385668796270366</v>
      </c>
      <c r="U101" s="632">
        <f t="shared" si="74"/>
        <v>100.42852088474486</v>
      </c>
      <c r="V101" s="632">
        <f t="shared" si="74"/>
        <v>110.47137297321935</v>
      </c>
      <c r="W101" s="204"/>
      <c r="X101" s="198"/>
      <c r="Y101" s="205"/>
      <c r="Z101" s="206"/>
      <c r="AA101" s="18"/>
      <c r="AB101" s="18"/>
      <c r="AC101" s="18"/>
      <c r="AD101" s="18"/>
      <c r="AF101" s="204"/>
      <c r="AG101" s="198"/>
      <c r="AH101" s="205"/>
      <c r="AI101" s="206"/>
      <c r="AJ101" s="208"/>
      <c r="AK101" s="208"/>
      <c r="AL101" s="208"/>
      <c r="AM101" s="208"/>
    </row>
    <row r="102" spans="1:39" ht="44.45" customHeight="1">
      <c r="A102" s="224" t="s">
        <v>1078</v>
      </c>
      <c r="B102" s="212">
        <f>M57+B104</f>
        <v>170.55707715016831</v>
      </c>
      <c r="C102" s="125">
        <v>180</v>
      </c>
      <c r="D102" s="212">
        <v>58</v>
      </c>
      <c r="E102" s="221">
        <f>1/SQRT((1/M81)^2+(1/(D102*J81))^2)+B104</f>
        <v>195.31191951462577</v>
      </c>
      <c r="F102" s="221">
        <f t="shared" si="75"/>
        <v>170.55707715016831</v>
      </c>
      <c r="P102" s="224" t="s">
        <v>1078</v>
      </c>
      <c r="Q102" s="632">
        <f t="shared" si="74"/>
        <v>78.718650992385363</v>
      </c>
      <c r="R102" s="632">
        <f t="shared" si="74"/>
        <v>91.838426157782934</v>
      </c>
      <c r="S102" s="632">
        <f t="shared" si="74"/>
        <v>104.9582013231805</v>
      </c>
      <c r="T102" s="632">
        <f t="shared" si="74"/>
        <v>118.07797648857806</v>
      </c>
      <c r="U102" s="632">
        <f t="shared" si="74"/>
        <v>131.19775165397562</v>
      </c>
      <c r="V102" s="632">
        <f t="shared" si="74"/>
        <v>144.3175268193732</v>
      </c>
      <c r="W102" s="204"/>
      <c r="X102" s="198"/>
      <c r="Y102" s="205"/>
      <c r="Z102" s="206"/>
      <c r="AA102" s="18"/>
      <c r="AB102" s="18"/>
      <c r="AC102" s="18"/>
      <c r="AD102" s="18"/>
      <c r="AF102" s="204"/>
      <c r="AG102" s="198"/>
      <c r="AH102" s="205"/>
      <c r="AI102" s="206"/>
      <c r="AJ102" s="208"/>
      <c r="AK102" s="208"/>
      <c r="AL102" s="208"/>
      <c r="AM102" s="209"/>
    </row>
    <row r="103" spans="1:39" ht="45">
      <c r="A103" s="224" t="s">
        <v>1079</v>
      </c>
      <c r="B103" s="212">
        <f>M59+B104</f>
        <v>200.85838852942155</v>
      </c>
      <c r="C103" s="125">
        <v>180</v>
      </c>
      <c r="D103" s="212">
        <v>58</v>
      </c>
      <c r="E103" s="221">
        <f>1/SQRT((1/M83)^2+(1/(D103*J83))^2)+B104</f>
        <v>195.31191951462577</v>
      </c>
      <c r="F103" s="221">
        <f t="shared" si="75"/>
        <v>195.31191951462577</v>
      </c>
      <c r="P103" s="224" t="s">
        <v>1079</v>
      </c>
      <c r="Q103" s="225">
        <f t="shared" si="74"/>
        <v>90.143962852904195</v>
      </c>
      <c r="R103" s="225">
        <f t="shared" si="74"/>
        <v>105.16795666172155</v>
      </c>
      <c r="S103" s="225">
        <f t="shared" si="74"/>
        <v>120.19195047053894</v>
      </c>
      <c r="T103" s="225">
        <f t="shared" si="74"/>
        <v>135.21594427935631</v>
      </c>
      <c r="U103" s="225">
        <f t="shared" si="74"/>
        <v>150.23993808817366</v>
      </c>
      <c r="V103" s="225">
        <f t="shared" si="74"/>
        <v>165.26393189699104</v>
      </c>
      <c r="W103" s="204"/>
      <c r="X103" s="198"/>
      <c r="Y103" s="205"/>
      <c r="Z103" s="206"/>
      <c r="AA103" s="18"/>
      <c r="AB103" s="18"/>
      <c r="AC103" s="18"/>
      <c r="AD103" s="18"/>
      <c r="AF103" s="204"/>
      <c r="AG103" s="198"/>
      <c r="AH103" s="205"/>
      <c r="AI103" s="206"/>
      <c r="AJ103" s="208"/>
      <c r="AK103" s="208"/>
      <c r="AL103" s="208"/>
      <c r="AM103" s="209"/>
    </row>
    <row r="104" spans="1:39">
      <c r="A104" s="21" t="s">
        <v>302</v>
      </c>
      <c r="B104" s="31">
        <v>40</v>
      </c>
    </row>
    <row r="106" spans="1:39" ht="26.25">
      <c r="A106" s="197" t="s">
        <v>276</v>
      </c>
      <c r="B106" s="197"/>
    </row>
    <row r="108" spans="1:39" ht="18.75">
      <c r="A108" s="50" t="s">
        <v>1271</v>
      </c>
      <c r="B108" s="50"/>
      <c r="E108" s="195"/>
      <c r="R108" s="2"/>
      <c r="S108" s="2"/>
      <c r="T108" s="2"/>
    </row>
    <row r="109" spans="1:39">
      <c r="A109" s="19" t="s">
        <v>35</v>
      </c>
      <c r="B109" t="str">
        <f>'RICON-S'!E76</f>
        <v>GL24h</v>
      </c>
      <c r="D109" s="195"/>
      <c r="R109" s="2"/>
      <c r="S109" s="2"/>
      <c r="T109" s="2"/>
    </row>
    <row r="110" spans="1:39">
      <c r="A110" s="21" t="s">
        <v>271</v>
      </c>
      <c r="B110">
        <f>VLOOKUP(B109,'RICON_RICON-S-EK_GIGANT_WALCO '!V7:W18,2,FALSE)</f>
        <v>385</v>
      </c>
      <c r="C110" t="s">
        <v>38</v>
      </c>
      <c r="R110" s="2"/>
      <c r="S110" s="2"/>
      <c r="T110" s="2"/>
    </row>
    <row r="111" spans="1:39" ht="18">
      <c r="A111" s="21" t="s">
        <v>59</v>
      </c>
      <c r="B111" s="49">
        <v>35000</v>
      </c>
      <c r="C111" s="49">
        <v>20000</v>
      </c>
      <c r="D111" t="s">
        <v>60</v>
      </c>
      <c r="R111" s="2"/>
      <c r="S111" s="2"/>
      <c r="T111" s="2"/>
    </row>
    <row r="112" spans="1:39">
      <c r="A112" s="21" t="s">
        <v>61</v>
      </c>
      <c r="B112" s="49">
        <v>10</v>
      </c>
      <c r="C112" s="49">
        <v>8</v>
      </c>
      <c r="D112" t="s">
        <v>62</v>
      </c>
      <c r="R112" s="2"/>
      <c r="S112" s="2"/>
      <c r="T112" s="2"/>
    </row>
    <row r="113" spans="1:20" ht="18">
      <c r="A113" s="21" t="s">
        <v>63</v>
      </c>
      <c r="B113" s="211">
        <f>0.033*$B$110*B112^-0.3</f>
        <v>6.3675838032344938</v>
      </c>
      <c r="C113" s="211">
        <f>0.033*$B$110*C112^-0.3</f>
        <v>6.808440920761802</v>
      </c>
      <c r="D113" t="s">
        <v>64</v>
      </c>
      <c r="R113" s="2"/>
      <c r="S113" s="2"/>
      <c r="T113" s="2"/>
    </row>
    <row r="114" spans="1:20" ht="18">
      <c r="A114" s="21" t="s">
        <v>65</v>
      </c>
      <c r="B114" s="70">
        <f>0.082*B112^-0.3*$B$110</f>
        <v>15.822480965612984</v>
      </c>
      <c r="C114" s="70">
        <f>0.082*C112^-0.3*$B$110</f>
        <v>16.917944106135387</v>
      </c>
      <c r="D114" t="s">
        <v>64</v>
      </c>
      <c r="R114" s="2"/>
      <c r="S114" s="2"/>
      <c r="T114" s="2"/>
    </row>
    <row r="115" spans="1:20">
      <c r="R115" s="2"/>
      <c r="S115" s="2"/>
      <c r="T115" s="2"/>
    </row>
    <row r="116" spans="1:20">
      <c r="E116" s="195"/>
      <c r="R116" s="2"/>
      <c r="S116" s="2"/>
      <c r="T116" s="2"/>
    </row>
    <row r="117" spans="1:20">
      <c r="R117" s="2"/>
      <c r="S117" s="2"/>
      <c r="T117" s="2"/>
    </row>
    <row r="118" spans="1:20" ht="18">
      <c r="A118" s="3" t="s">
        <v>2</v>
      </c>
      <c r="B118" s="4" t="s">
        <v>278</v>
      </c>
      <c r="C118" s="4" t="s">
        <v>41</v>
      </c>
      <c r="D118" s="4" t="s">
        <v>9</v>
      </c>
      <c r="E118" s="4" t="s">
        <v>42</v>
      </c>
      <c r="F118" s="4" t="s">
        <v>56</v>
      </c>
      <c r="G118" s="163" t="s">
        <v>57</v>
      </c>
      <c r="H118" s="4" t="s">
        <v>226</v>
      </c>
      <c r="I118" s="2"/>
      <c r="K118" s="2"/>
      <c r="L118" s="2"/>
      <c r="R118" s="2"/>
      <c r="S118" s="2"/>
      <c r="T118" s="2"/>
    </row>
    <row r="119" spans="1:20">
      <c r="A119" s="7"/>
      <c r="B119" s="8" t="s">
        <v>280</v>
      </c>
      <c r="C119" s="8" t="s">
        <v>19</v>
      </c>
      <c r="D119" s="8" t="s">
        <v>18</v>
      </c>
      <c r="E119" s="8" t="s">
        <v>18</v>
      </c>
      <c r="F119" s="8" t="s">
        <v>17</v>
      </c>
      <c r="G119" s="164" t="s">
        <v>17</v>
      </c>
      <c r="H119" s="56" t="s">
        <v>17</v>
      </c>
      <c r="I119" s="2"/>
      <c r="K119" s="2"/>
      <c r="L119" s="2"/>
      <c r="R119" s="2"/>
      <c r="S119" s="2"/>
      <c r="T119" s="2"/>
    </row>
    <row r="120" spans="1:20" ht="45">
      <c r="A120" s="224" t="s">
        <v>1065</v>
      </c>
      <c r="B120" s="212">
        <v>160</v>
      </c>
      <c r="C120" s="57">
        <v>7</v>
      </c>
      <c r="D120" s="57">
        <v>8</v>
      </c>
      <c r="E120" s="220">
        <f t="shared" ref="E120:E125" si="80">B120-15</f>
        <v>145</v>
      </c>
      <c r="F120" s="220">
        <f t="shared" ref="F120:F134" si="81">($F$136*0.52*SQRT(D120)*E120^0.9*$B$110^0.8)/1000</f>
        <v>9.1054072130615449</v>
      </c>
      <c r="G120" s="220">
        <f t="shared" ref="G120:G125" si="82">MIN(2.3*SQRT($C$111*$C$113*$C$112)/1000+(F120/4),$C$112*$C$113*E120/1000,$C$112*$C$113*E120/1000*(SQRT(2+4*$C$111/($C$112*$C$113*E120^2))-1)+F120/4)</f>
        <v>4.6769068214503031</v>
      </c>
      <c r="H120" s="221">
        <f t="shared" ref="H120" si="83">G120</f>
        <v>4.6769068214503031</v>
      </c>
      <c r="I120" s="2"/>
      <c r="K120" s="2"/>
      <c r="L120" s="2"/>
      <c r="R120" s="2"/>
      <c r="S120" s="2"/>
      <c r="T120" s="2"/>
    </row>
    <row r="121" spans="1:20" ht="45">
      <c r="A121" s="224" t="s">
        <v>1066</v>
      </c>
      <c r="B121" s="212">
        <v>160</v>
      </c>
      <c r="C121" s="57">
        <v>10</v>
      </c>
      <c r="D121" s="57">
        <v>8</v>
      </c>
      <c r="E121" s="220">
        <f t="shared" si="80"/>
        <v>145</v>
      </c>
      <c r="F121" s="220">
        <f t="shared" si="81"/>
        <v>9.1054072130615449</v>
      </c>
      <c r="G121" s="220">
        <f t="shared" si="82"/>
        <v>4.6769068214503031</v>
      </c>
      <c r="H121" s="221">
        <f t="shared" ref="H121:H134" si="84">G121</f>
        <v>4.6769068214503031</v>
      </c>
      <c r="I121" s="107"/>
      <c r="K121" s="217"/>
      <c r="L121" s="217"/>
      <c r="R121" s="2"/>
      <c r="S121" s="2"/>
      <c r="T121" s="2"/>
    </row>
    <row r="122" spans="1:20" ht="45.75" thickBot="1">
      <c r="A122" s="585" t="s">
        <v>1067</v>
      </c>
      <c r="B122" s="518">
        <v>240</v>
      </c>
      <c r="C122" s="562">
        <v>10</v>
      </c>
      <c r="D122" s="562">
        <v>8</v>
      </c>
      <c r="E122" s="602">
        <f t="shared" si="80"/>
        <v>225</v>
      </c>
      <c r="F122" s="602">
        <f t="shared" si="81"/>
        <v>13.521735531614226</v>
      </c>
      <c r="G122" s="602">
        <f t="shared" si="82"/>
        <v>5.7809889010884739</v>
      </c>
      <c r="H122" s="603">
        <f t="shared" si="84"/>
        <v>5.7809889010884739</v>
      </c>
      <c r="I122" s="107"/>
      <c r="K122" s="217"/>
      <c r="L122" s="217"/>
      <c r="R122" s="2"/>
      <c r="S122" s="2"/>
      <c r="T122" s="2"/>
    </row>
    <row r="123" spans="1:20" ht="45">
      <c r="A123" s="269" t="s">
        <v>1068</v>
      </c>
      <c r="B123" s="624">
        <v>160</v>
      </c>
      <c r="C123" s="616">
        <v>8</v>
      </c>
      <c r="D123" s="616">
        <v>8</v>
      </c>
      <c r="E123" s="633">
        <f t="shared" si="80"/>
        <v>145</v>
      </c>
      <c r="F123" s="633">
        <f t="shared" si="81"/>
        <v>9.1054072130615449</v>
      </c>
      <c r="G123" s="633">
        <f t="shared" si="82"/>
        <v>4.6769068214503031</v>
      </c>
      <c r="H123" s="634">
        <f t="shared" ref="H123" si="85">G123</f>
        <v>4.6769068214503031</v>
      </c>
      <c r="I123" s="107"/>
      <c r="K123" s="217"/>
      <c r="L123" s="217"/>
      <c r="R123" s="2"/>
      <c r="S123" s="2"/>
      <c r="T123" s="2"/>
    </row>
    <row r="124" spans="1:20" ht="45">
      <c r="A124" s="224" t="s">
        <v>1069</v>
      </c>
      <c r="B124" s="260">
        <v>160</v>
      </c>
      <c r="C124" s="261">
        <v>16</v>
      </c>
      <c r="D124" s="261">
        <v>8</v>
      </c>
      <c r="E124" s="608">
        <f t="shared" si="80"/>
        <v>145</v>
      </c>
      <c r="F124" s="608">
        <f t="shared" si="81"/>
        <v>9.1054072130615449</v>
      </c>
      <c r="G124" s="608">
        <f t="shared" si="82"/>
        <v>4.6769068214503031</v>
      </c>
      <c r="H124" s="609">
        <f t="shared" si="84"/>
        <v>4.6769068214503031</v>
      </c>
      <c r="I124" s="109"/>
      <c r="K124" s="219"/>
      <c r="L124" s="219"/>
      <c r="R124" s="2"/>
      <c r="S124" s="2"/>
      <c r="T124" s="2"/>
    </row>
    <row r="125" spans="1:20" ht="45.75" thickBot="1">
      <c r="A125" s="585" t="s">
        <v>1070</v>
      </c>
      <c r="B125" s="518">
        <v>240</v>
      </c>
      <c r="C125" s="562">
        <v>16</v>
      </c>
      <c r="D125" s="562">
        <v>8</v>
      </c>
      <c r="E125" s="602">
        <f t="shared" si="80"/>
        <v>225</v>
      </c>
      <c r="F125" s="602">
        <f t="shared" si="81"/>
        <v>13.521735531614226</v>
      </c>
      <c r="G125" s="602">
        <f t="shared" si="82"/>
        <v>5.7809889010884739</v>
      </c>
      <c r="H125" s="603">
        <f t="shared" si="84"/>
        <v>5.7809889010884739</v>
      </c>
      <c r="I125" s="109"/>
      <c r="K125" s="219"/>
      <c r="L125" s="219"/>
      <c r="R125" s="2"/>
      <c r="S125" s="2"/>
      <c r="T125" s="2"/>
    </row>
    <row r="126" spans="1:20" ht="45">
      <c r="A126" s="269" t="s">
        <v>1071</v>
      </c>
      <c r="B126" s="260">
        <v>200</v>
      </c>
      <c r="C126" s="261">
        <v>8</v>
      </c>
      <c r="D126" s="261">
        <v>10</v>
      </c>
      <c r="E126" s="608">
        <f t="shared" ref="E126" si="86">B126-20</f>
        <v>180</v>
      </c>
      <c r="F126" s="608">
        <f t="shared" si="81"/>
        <v>12.367115938864831</v>
      </c>
      <c r="G126" s="608">
        <f t="shared" ref="G126" si="87">MIN(2.3*SQRT($B$111*$B$113*$B$112)/1000+(F126/4),$B$112*$B$113*E126/1000,$B$112*$B$113*E126/1000*(SQRT(2+4*$B$111/($B$112*$B$113*E126^2))-1)+F126/4)</f>
        <v>6.5253749731354436</v>
      </c>
      <c r="H126" s="609">
        <f t="shared" ref="H126" si="88">G126</f>
        <v>6.5253749731354436</v>
      </c>
      <c r="I126" s="109"/>
      <c r="K126" s="219"/>
      <c r="L126" s="219"/>
      <c r="R126" s="2"/>
      <c r="S126" s="2"/>
      <c r="T126" s="2"/>
    </row>
    <row r="127" spans="1:20" ht="45">
      <c r="A127" s="224" t="s">
        <v>1072</v>
      </c>
      <c r="B127" s="260">
        <v>200</v>
      </c>
      <c r="C127" s="261">
        <v>16</v>
      </c>
      <c r="D127" s="261">
        <v>10</v>
      </c>
      <c r="E127" s="608">
        <f t="shared" ref="E127:E134" si="89">B127-20</f>
        <v>180</v>
      </c>
      <c r="F127" s="608">
        <f t="shared" si="81"/>
        <v>12.367115938864831</v>
      </c>
      <c r="G127" s="608">
        <f t="shared" ref="G127:G134" si="90">MIN(2.3*SQRT($B$111*$B$113*$B$112)/1000+(F127/4),$B$112*$B$113*E127/1000,$B$112*$B$113*E127/1000*(SQRT(2+4*$B$111/($B$112*$B$113*E127^2))-1)+F127/4)</f>
        <v>6.5253749731354436</v>
      </c>
      <c r="H127" s="609">
        <f t="shared" si="84"/>
        <v>6.5253749731354436</v>
      </c>
      <c r="I127" s="109"/>
      <c r="K127" s="219"/>
      <c r="L127" s="219"/>
      <c r="R127" s="2"/>
      <c r="S127" s="2"/>
      <c r="T127" s="2"/>
    </row>
    <row r="128" spans="1:20" ht="45.75" thickBot="1">
      <c r="A128" s="585" t="s">
        <v>1073</v>
      </c>
      <c r="B128" s="518">
        <v>300</v>
      </c>
      <c r="C128" s="562">
        <v>16</v>
      </c>
      <c r="D128" s="562">
        <v>10</v>
      </c>
      <c r="E128" s="602">
        <f t="shared" si="89"/>
        <v>280</v>
      </c>
      <c r="F128" s="602">
        <f t="shared" si="81"/>
        <v>18.406253787508255</v>
      </c>
      <c r="G128" s="602">
        <f t="shared" si="90"/>
        <v>8.0351594352962987</v>
      </c>
      <c r="H128" s="603">
        <f t="shared" si="84"/>
        <v>8.0351594352962987</v>
      </c>
      <c r="I128" s="109"/>
      <c r="K128" s="219"/>
      <c r="L128" s="219"/>
      <c r="R128" s="2"/>
      <c r="S128" s="2"/>
      <c r="T128" s="2"/>
    </row>
    <row r="129" spans="1:20" ht="45">
      <c r="A129" s="269" t="s">
        <v>1074</v>
      </c>
      <c r="B129" s="260">
        <v>200</v>
      </c>
      <c r="C129" s="261">
        <v>8</v>
      </c>
      <c r="D129" s="261">
        <v>10</v>
      </c>
      <c r="E129" s="608">
        <f t="shared" ref="E129" si="91">B129-20</f>
        <v>180</v>
      </c>
      <c r="F129" s="608">
        <f t="shared" si="81"/>
        <v>12.367115938864831</v>
      </c>
      <c r="G129" s="608">
        <f t="shared" ref="G129" si="92">MIN(2.3*SQRT($B$111*$B$113*$B$112)/1000+(F129/4),$B$112*$B$113*E129/1000,$B$112*$B$113*E129/1000*(SQRT(2+4*$B$111/($B$112*$B$113*E129^2))-1)+F129/4)</f>
        <v>6.5253749731354436</v>
      </c>
      <c r="H129" s="609">
        <f t="shared" ref="H129" si="93">G129</f>
        <v>6.5253749731354436</v>
      </c>
      <c r="I129" s="109"/>
      <c r="K129" s="219"/>
      <c r="L129" s="219"/>
      <c r="R129" s="2"/>
      <c r="S129" s="2"/>
      <c r="T129" s="2"/>
    </row>
    <row r="130" spans="1:20" ht="45">
      <c r="A130" s="224" t="s">
        <v>1075</v>
      </c>
      <c r="B130" s="260">
        <v>200</v>
      </c>
      <c r="C130" s="261">
        <v>25</v>
      </c>
      <c r="D130" s="261">
        <v>10</v>
      </c>
      <c r="E130" s="608">
        <f t="shared" si="89"/>
        <v>180</v>
      </c>
      <c r="F130" s="608">
        <f t="shared" si="81"/>
        <v>12.367115938864831</v>
      </c>
      <c r="G130" s="608">
        <f t="shared" si="90"/>
        <v>6.5253749731354436</v>
      </c>
      <c r="H130" s="609">
        <f t="shared" si="84"/>
        <v>6.5253749731354436</v>
      </c>
      <c r="I130" s="109"/>
      <c r="K130" s="219"/>
      <c r="L130" s="219"/>
      <c r="R130" s="2"/>
      <c r="S130" s="2"/>
      <c r="T130" s="2"/>
    </row>
    <row r="131" spans="1:20" ht="45.75" thickBot="1">
      <c r="A131" s="585" t="s">
        <v>1076</v>
      </c>
      <c r="B131" s="518">
        <v>300</v>
      </c>
      <c r="C131" s="562">
        <v>25</v>
      </c>
      <c r="D131" s="562">
        <v>10</v>
      </c>
      <c r="E131" s="602">
        <f t="shared" si="89"/>
        <v>280</v>
      </c>
      <c r="F131" s="602">
        <f t="shared" si="81"/>
        <v>18.406253787508255</v>
      </c>
      <c r="G131" s="602">
        <f t="shared" si="90"/>
        <v>8.0351594352962987</v>
      </c>
      <c r="H131" s="603">
        <f t="shared" si="84"/>
        <v>8.0351594352962987</v>
      </c>
      <c r="I131" s="109"/>
      <c r="K131" s="219"/>
      <c r="L131" s="219"/>
      <c r="R131" s="2"/>
      <c r="S131" s="2"/>
      <c r="T131" s="2"/>
    </row>
    <row r="132" spans="1:20" ht="45">
      <c r="A132" s="269" t="s">
        <v>1077</v>
      </c>
      <c r="B132" s="260">
        <v>200</v>
      </c>
      <c r="C132" s="261">
        <v>28</v>
      </c>
      <c r="D132" s="261">
        <v>10</v>
      </c>
      <c r="E132" s="608">
        <f t="shared" ref="E132" si="94">B132-20</f>
        <v>180</v>
      </c>
      <c r="F132" s="608">
        <f t="shared" si="81"/>
        <v>12.367115938864831</v>
      </c>
      <c r="G132" s="608">
        <f t="shared" ref="G132" si="95">MIN(2.3*SQRT($B$111*$B$113*$B$112)/1000+(F132/4),$B$112*$B$113*E132/1000,$B$112*$B$113*E132/1000*(SQRT(2+4*$B$111/($B$112*$B$113*E132^2))-1)+F132/4)</f>
        <v>6.5253749731354436</v>
      </c>
      <c r="H132" s="609">
        <f t="shared" ref="H132" si="96">G132</f>
        <v>6.5253749731354436</v>
      </c>
      <c r="I132" s="109"/>
      <c r="K132" s="219"/>
      <c r="L132" s="219"/>
      <c r="R132" s="2"/>
      <c r="S132" s="2"/>
      <c r="T132" s="2"/>
    </row>
    <row r="133" spans="1:20" ht="45">
      <c r="A133" s="224" t="s">
        <v>1078</v>
      </c>
      <c r="B133" s="212">
        <v>200</v>
      </c>
      <c r="C133" s="57">
        <v>28</v>
      </c>
      <c r="D133" s="57">
        <v>10</v>
      </c>
      <c r="E133" s="220">
        <f t="shared" si="89"/>
        <v>180</v>
      </c>
      <c r="F133" s="220">
        <f t="shared" si="81"/>
        <v>12.367115938864831</v>
      </c>
      <c r="G133" s="220">
        <f t="shared" si="90"/>
        <v>6.5253749731354436</v>
      </c>
      <c r="H133" s="221">
        <f t="shared" si="84"/>
        <v>6.5253749731354436</v>
      </c>
      <c r="I133" s="109"/>
      <c r="K133" s="219"/>
      <c r="L133" s="219"/>
      <c r="R133" s="2"/>
      <c r="S133" s="2"/>
      <c r="T133" s="2"/>
    </row>
    <row r="134" spans="1:20" ht="45">
      <c r="A134" s="224" t="s">
        <v>1079</v>
      </c>
      <c r="B134" s="212">
        <v>300</v>
      </c>
      <c r="C134" s="57">
        <v>28</v>
      </c>
      <c r="D134" s="57">
        <v>10</v>
      </c>
      <c r="E134" s="220">
        <f t="shared" si="89"/>
        <v>280</v>
      </c>
      <c r="F134" s="220">
        <f t="shared" si="81"/>
        <v>18.406253787508255</v>
      </c>
      <c r="G134" s="220">
        <f t="shared" si="90"/>
        <v>8.0351594352962987</v>
      </c>
      <c r="H134" s="221">
        <f t="shared" si="84"/>
        <v>8.0351594352962987</v>
      </c>
      <c r="I134" s="66"/>
      <c r="K134" s="223"/>
      <c r="L134" s="223"/>
      <c r="R134" s="2"/>
      <c r="S134" s="2"/>
      <c r="T134" s="2"/>
    </row>
    <row r="135" spans="1:20">
      <c r="E135" s="21" t="s">
        <v>293</v>
      </c>
      <c r="F135" s="41">
        <v>0</v>
      </c>
      <c r="J135" s="223"/>
      <c r="R135" s="2"/>
      <c r="S135" s="2"/>
      <c r="T135" s="2"/>
    </row>
    <row r="136" spans="1:20">
      <c r="E136" s="21" t="s">
        <v>294</v>
      </c>
      <c r="F136" s="627">
        <v>0.6</v>
      </c>
      <c r="J136" s="223"/>
      <c r="R136" s="2"/>
      <c r="S136" s="2"/>
      <c r="T136" s="2"/>
    </row>
    <row r="137" spans="1:20">
      <c r="J137" s="223"/>
      <c r="R137" s="2"/>
      <c r="S137" s="2"/>
      <c r="T137" s="2"/>
    </row>
    <row r="138" spans="1:20" ht="18">
      <c r="A138" s="3" t="s">
        <v>2</v>
      </c>
      <c r="B138" s="3" t="s">
        <v>303</v>
      </c>
      <c r="C138" s="4" t="s">
        <v>165</v>
      </c>
      <c r="D138" s="4" t="s">
        <v>150</v>
      </c>
      <c r="E138" s="4" t="s">
        <v>155</v>
      </c>
      <c r="F138" s="4" t="s">
        <v>175</v>
      </c>
      <c r="G138" s="4" t="s">
        <v>153</v>
      </c>
      <c r="H138" s="163" t="s">
        <v>176</v>
      </c>
      <c r="I138" s="29"/>
      <c r="K138" s="2"/>
      <c r="L138" s="2"/>
      <c r="M138" s="2"/>
      <c r="R138" s="2"/>
      <c r="S138" s="2"/>
      <c r="T138" s="2"/>
    </row>
    <row r="139" spans="1:20">
      <c r="A139" s="7"/>
      <c r="B139" s="7"/>
      <c r="C139" s="56" t="s">
        <v>17</v>
      </c>
      <c r="D139" s="8" t="s">
        <v>19</v>
      </c>
      <c r="E139" s="8" t="s">
        <v>75</v>
      </c>
      <c r="F139" s="8" t="s">
        <v>75</v>
      </c>
      <c r="G139" s="8" t="s">
        <v>18</v>
      </c>
      <c r="H139" s="164" t="s">
        <v>17</v>
      </c>
      <c r="I139" s="29"/>
      <c r="K139" s="2"/>
      <c r="L139" s="2"/>
      <c r="M139" s="2"/>
      <c r="R139" s="2"/>
      <c r="S139" s="2"/>
      <c r="T139" s="2"/>
    </row>
    <row r="140" spans="1:20" ht="45">
      <c r="A140" s="224" t="s">
        <v>1065</v>
      </c>
      <c r="B140" s="396" t="s">
        <v>1274</v>
      </c>
      <c r="C140" s="212">
        <f t="shared" ref="C140:C154" si="97">H120</f>
        <v>4.6769068214503031</v>
      </c>
      <c r="D140" s="57">
        <f>C120</f>
        <v>7</v>
      </c>
      <c r="E140" s="212">
        <v>247</v>
      </c>
      <c r="F140" s="221">
        <v>529</v>
      </c>
      <c r="G140" s="221">
        <v>0</v>
      </c>
      <c r="H140" s="330">
        <f>C140/(SQRT((1/D140+G140/E140)^2+(G140/F140)^2))</f>
        <v>32.738347750152123</v>
      </c>
      <c r="I140" s="29"/>
      <c r="K140" s="2"/>
      <c r="L140" s="2"/>
      <c r="M140" s="2"/>
      <c r="R140" s="2"/>
      <c r="S140" s="2"/>
      <c r="T140" s="2"/>
    </row>
    <row r="141" spans="1:20" ht="45">
      <c r="A141" s="224" t="s">
        <v>1066</v>
      </c>
      <c r="B141" s="396" t="s">
        <v>304</v>
      </c>
      <c r="C141" s="212">
        <f t="shared" si="97"/>
        <v>4.6769068214503031</v>
      </c>
      <c r="D141" s="57">
        <f t="shared" ref="D141:D154" si="98">C121</f>
        <v>10</v>
      </c>
      <c r="E141" s="212">
        <v>313</v>
      </c>
      <c r="F141" s="221">
        <v>683</v>
      </c>
      <c r="G141" s="221">
        <v>0</v>
      </c>
      <c r="H141" s="330">
        <f>C141/(SQRT((1/D141+G141/E141)^2+(G141/F141)^2))</f>
        <v>46.769068214503029</v>
      </c>
      <c r="I141" s="165"/>
      <c r="K141" s="217"/>
      <c r="L141" s="217"/>
      <c r="M141" s="217"/>
      <c r="R141" s="2"/>
      <c r="S141" s="2"/>
      <c r="T141" s="2"/>
    </row>
    <row r="142" spans="1:20" ht="45.75" thickBot="1">
      <c r="A142" s="585" t="s">
        <v>1067</v>
      </c>
      <c r="B142" s="637" t="s">
        <v>305</v>
      </c>
      <c r="C142" s="518">
        <f t="shared" si="97"/>
        <v>5.7809889010884739</v>
      </c>
      <c r="D142" s="562">
        <f t="shared" si="98"/>
        <v>10</v>
      </c>
      <c r="E142" s="518">
        <v>313</v>
      </c>
      <c r="F142" s="603">
        <v>683</v>
      </c>
      <c r="G142" s="603">
        <f t="shared" ref="G142:G154" si="99">G141</f>
        <v>0</v>
      </c>
      <c r="H142" s="638">
        <f t="shared" ref="H142:H154" si="100">C142/(SQRT((1/D142+G142/E142)^2+(G142/F142)^2))</f>
        <v>57.809889010884739</v>
      </c>
      <c r="I142" s="165"/>
      <c r="K142" s="217"/>
      <c r="L142" s="217"/>
      <c r="M142" s="217"/>
      <c r="R142" s="2"/>
      <c r="S142" s="2"/>
      <c r="T142" s="2"/>
    </row>
    <row r="143" spans="1:20" ht="45">
      <c r="A143" s="269" t="s">
        <v>1068</v>
      </c>
      <c r="B143" s="639" t="s">
        <v>1273</v>
      </c>
      <c r="C143" s="624">
        <f t="shared" si="97"/>
        <v>4.6769068214503031</v>
      </c>
      <c r="D143" s="616">
        <f t="shared" si="98"/>
        <v>8</v>
      </c>
      <c r="E143" s="624">
        <v>318</v>
      </c>
      <c r="F143" s="634">
        <v>868</v>
      </c>
      <c r="G143" s="634">
        <f>G141</f>
        <v>0</v>
      </c>
      <c r="H143" s="616">
        <f t="shared" ref="H143" si="101">C143/(SQRT((1/D143+G143/E143)^2+(G143/F143)^2))</f>
        <v>37.415254571602425</v>
      </c>
      <c r="I143" s="165"/>
      <c r="K143" s="217"/>
      <c r="L143" s="217"/>
      <c r="M143" s="217"/>
      <c r="R143" s="2"/>
      <c r="S143" s="2"/>
      <c r="T143" s="2"/>
    </row>
    <row r="144" spans="1:20" ht="45">
      <c r="A144" s="224" t="s">
        <v>1069</v>
      </c>
      <c r="B144" s="76" t="s">
        <v>306</v>
      </c>
      <c r="C144" s="260">
        <f t="shared" si="97"/>
        <v>4.6769068214503031</v>
      </c>
      <c r="D144" s="261">
        <f t="shared" si="98"/>
        <v>16</v>
      </c>
      <c r="E144" s="260">
        <v>590</v>
      </c>
      <c r="F144" s="609">
        <v>2061</v>
      </c>
      <c r="G144" s="609">
        <f>G142</f>
        <v>0</v>
      </c>
      <c r="H144" s="261">
        <f t="shared" si="100"/>
        <v>74.83050914320485</v>
      </c>
      <c r="I144" s="165"/>
      <c r="K144" s="217"/>
      <c r="L144" s="217"/>
      <c r="M144" s="217"/>
      <c r="R144" s="2"/>
      <c r="S144" s="2"/>
      <c r="T144" s="2"/>
    </row>
    <row r="145" spans="1:20" ht="45.75" thickBot="1">
      <c r="A145" s="585" t="s">
        <v>1070</v>
      </c>
      <c r="B145" s="637" t="s">
        <v>307</v>
      </c>
      <c r="C145" s="518">
        <f t="shared" si="97"/>
        <v>5.7809889010884739</v>
      </c>
      <c r="D145" s="562">
        <f t="shared" si="98"/>
        <v>16</v>
      </c>
      <c r="E145" s="518">
        <v>590</v>
      </c>
      <c r="F145" s="603">
        <v>2061</v>
      </c>
      <c r="G145" s="603">
        <f t="shared" si="99"/>
        <v>0</v>
      </c>
      <c r="H145" s="562">
        <f t="shared" si="100"/>
        <v>92.495822417415582</v>
      </c>
      <c r="I145" s="165"/>
      <c r="K145" s="217"/>
      <c r="L145" s="217"/>
      <c r="M145" s="217"/>
      <c r="R145" s="2"/>
      <c r="S145" s="2"/>
      <c r="T145" s="2"/>
    </row>
    <row r="146" spans="1:20" ht="45">
      <c r="A146" s="269" t="s">
        <v>1071</v>
      </c>
      <c r="B146" s="76" t="s">
        <v>1272</v>
      </c>
      <c r="C146" s="260">
        <f t="shared" si="97"/>
        <v>6.5253749731354436</v>
      </c>
      <c r="D146" s="261">
        <f t="shared" si="98"/>
        <v>8</v>
      </c>
      <c r="E146" s="260">
        <v>360</v>
      </c>
      <c r="F146" s="609">
        <v>720</v>
      </c>
      <c r="G146" s="609">
        <f>G144</f>
        <v>0</v>
      </c>
      <c r="H146" s="261">
        <f t="shared" ref="H146" si="102">C146/(SQRT((1/D146+G146/E146)^2+(G146/F146)^2))</f>
        <v>52.202999785083549</v>
      </c>
      <c r="I146" s="165"/>
      <c r="K146" s="217"/>
      <c r="L146" s="217"/>
      <c r="M146" s="217"/>
      <c r="R146" s="2"/>
      <c r="S146" s="2"/>
      <c r="T146" s="2"/>
    </row>
    <row r="147" spans="1:20" ht="45">
      <c r="A147" s="224" t="s">
        <v>1072</v>
      </c>
      <c r="B147" s="396" t="s">
        <v>308</v>
      </c>
      <c r="C147" s="260">
        <f t="shared" si="97"/>
        <v>6.5253749731354436</v>
      </c>
      <c r="D147" s="57">
        <f t="shared" si="98"/>
        <v>16</v>
      </c>
      <c r="E147" s="260">
        <v>665</v>
      </c>
      <c r="F147" s="609">
        <v>1678</v>
      </c>
      <c r="G147" s="609">
        <f>G145</f>
        <v>0</v>
      </c>
      <c r="H147" s="261">
        <f t="shared" si="100"/>
        <v>104.4059995701671</v>
      </c>
      <c r="I147" s="165"/>
      <c r="K147" s="217"/>
      <c r="L147" s="217"/>
      <c r="M147" s="217"/>
      <c r="R147" s="2"/>
      <c r="S147" s="2"/>
      <c r="T147" s="2"/>
    </row>
    <row r="148" spans="1:20" ht="45.75" thickBot="1">
      <c r="A148" s="585" t="s">
        <v>1073</v>
      </c>
      <c r="B148" s="637" t="s">
        <v>309</v>
      </c>
      <c r="C148" s="518">
        <f t="shared" si="97"/>
        <v>8.0351594352962987</v>
      </c>
      <c r="D148" s="562">
        <f t="shared" si="98"/>
        <v>16</v>
      </c>
      <c r="E148" s="518">
        <v>665</v>
      </c>
      <c r="F148" s="603">
        <v>1678</v>
      </c>
      <c r="G148" s="603">
        <f t="shared" si="99"/>
        <v>0</v>
      </c>
      <c r="H148" s="562">
        <f t="shared" si="100"/>
        <v>128.56255096474078</v>
      </c>
      <c r="I148" s="165"/>
      <c r="K148" s="217"/>
      <c r="L148" s="217"/>
      <c r="M148" s="217"/>
      <c r="R148" s="2"/>
      <c r="S148" s="2"/>
      <c r="T148" s="2"/>
    </row>
    <row r="149" spans="1:20" ht="45">
      <c r="A149" s="269" t="s">
        <v>1074</v>
      </c>
      <c r="B149" s="76" t="s">
        <v>1272</v>
      </c>
      <c r="C149" s="260">
        <f t="shared" si="97"/>
        <v>6.5253749731354436</v>
      </c>
      <c r="D149" s="261">
        <f t="shared" si="98"/>
        <v>8</v>
      </c>
      <c r="E149" s="260">
        <v>566</v>
      </c>
      <c r="F149" s="609">
        <v>1980</v>
      </c>
      <c r="G149" s="609">
        <f>G147</f>
        <v>0</v>
      </c>
      <c r="H149" s="261">
        <f t="shared" ref="H149" si="103">C149/(SQRT((1/D149+G149/E149)^2+(G149/F149)^2))</f>
        <v>52.202999785083549</v>
      </c>
      <c r="I149" s="165"/>
      <c r="K149" s="217"/>
      <c r="L149" s="217"/>
      <c r="M149" s="217"/>
      <c r="R149" s="2"/>
      <c r="S149" s="2"/>
      <c r="T149" s="2"/>
    </row>
    <row r="150" spans="1:20" ht="45">
      <c r="A150" s="224" t="s">
        <v>1075</v>
      </c>
      <c r="B150" s="396" t="s">
        <v>310</v>
      </c>
      <c r="C150" s="260">
        <f t="shared" si="97"/>
        <v>6.5253749731354436</v>
      </c>
      <c r="D150" s="57">
        <f t="shared" si="98"/>
        <v>25</v>
      </c>
      <c r="E150" s="260">
        <v>1284</v>
      </c>
      <c r="F150" s="609">
        <v>5189</v>
      </c>
      <c r="G150" s="609">
        <f>G148</f>
        <v>0</v>
      </c>
      <c r="H150" s="261">
        <f t="shared" si="100"/>
        <v>163.13437432838609</v>
      </c>
      <c r="I150" s="165"/>
      <c r="K150" s="217"/>
      <c r="L150" s="217"/>
      <c r="M150" s="217"/>
      <c r="R150" s="2"/>
      <c r="S150" s="2"/>
      <c r="T150" s="2"/>
    </row>
    <row r="151" spans="1:20" ht="45.75" thickBot="1">
      <c r="A151" s="585" t="s">
        <v>1076</v>
      </c>
      <c r="B151" s="637" t="s">
        <v>311</v>
      </c>
      <c r="C151" s="518">
        <f t="shared" si="97"/>
        <v>8.0351594352962987</v>
      </c>
      <c r="D151" s="562">
        <f t="shared" si="98"/>
        <v>25</v>
      </c>
      <c r="E151" s="518">
        <v>1284</v>
      </c>
      <c r="F151" s="603">
        <v>5189</v>
      </c>
      <c r="G151" s="603">
        <f t="shared" si="99"/>
        <v>0</v>
      </c>
      <c r="H151" s="562">
        <f t="shared" si="100"/>
        <v>200.87898588240748</v>
      </c>
      <c r="I151" s="165"/>
      <c r="K151" s="217"/>
      <c r="L151" s="217"/>
      <c r="M151" s="217"/>
      <c r="R151" s="2"/>
      <c r="S151" s="2"/>
      <c r="T151" s="2"/>
    </row>
    <row r="152" spans="1:20" ht="45">
      <c r="A152" s="269" t="s">
        <v>1077</v>
      </c>
      <c r="B152" s="357" t="s">
        <v>312</v>
      </c>
      <c r="C152" s="260">
        <f t="shared" si="97"/>
        <v>6.5253749731354436</v>
      </c>
      <c r="D152" s="261">
        <f t="shared" si="98"/>
        <v>28</v>
      </c>
      <c r="E152" s="260">
        <v>1581</v>
      </c>
      <c r="F152" s="609">
        <v>5189</v>
      </c>
      <c r="G152" s="609">
        <f>G150</f>
        <v>0</v>
      </c>
      <c r="H152" s="261">
        <f t="shared" ref="H152" si="104">C152/(SQRT((1/D152+G152/E152)^2+(G152/F152)^2))</f>
        <v>182.71049924779243</v>
      </c>
      <c r="I152" s="107"/>
      <c r="K152" s="217"/>
      <c r="L152" s="217"/>
      <c r="M152" s="217"/>
      <c r="R152" s="2"/>
      <c r="S152" s="2"/>
      <c r="T152" s="2"/>
    </row>
    <row r="153" spans="1:20" ht="45">
      <c r="A153" s="224" t="s">
        <v>1078</v>
      </c>
      <c r="B153" s="357" t="s">
        <v>312</v>
      </c>
      <c r="C153" s="212">
        <f t="shared" si="97"/>
        <v>6.5253749731354436</v>
      </c>
      <c r="D153" s="57">
        <f t="shared" si="98"/>
        <v>28</v>
      </c>
      <c r="E153" s="212">
        <v>1581</v>
      </c>
      <c r="F153" s="221">
        <v>5189</v>
      </c>
      <c r="G153" s="221">
        <f>G151</f>
        <v>0</v>
      </c>
      <c r="H153" s="57">
        <f t="shared" si="100"/>
        <v>182.71049924779243</v>
      </c>
      <c r="I153" s="107"/>
      <c r="K153" s="217"/>
      <c r="L153" s="217"/>
      <c r="M153" s="217"/>
      <c r="R153" s="2"/>
      <c r="S153" s="2"/>
      <c r="T153" s="2"/>
    </row>
    <row r="154" spans="1:20" ht="45">
      <c r="A154" s="224" t="s">
        <v>1079</v>
      </c>
      <c r="B154" s="350" t="s">
        <v>313</v>
      </c>
      <c r="C154" s="212">
        <f t="shared" si="97"/>
        <v>8.0351594352962987</v>
      </c>
      <c r="D154" s="57">
        <f t="shared" si="98"/>
        <v>28</v>
      </c>
      <c r="E154" s="212">
        <v>1581</v>
      </c>
      <c r="F154" s="221">
        <v>5189</v>
      </c>
      <c r="G154" s="221">
        <f t="shared" si="99"/>
        <v>0</v>
      </c>
      <c r="H154" s="57">
        <f t="shared" si="100"/>
        <v>224.98446418829639</v>
      </c>
      <c r="I154" s="107"/>
      <c r="K154" s="217"/>
      <c r="L154" s="217"/>
      <c r="M154" s="217"/>
      <c r="R154" s="2"/>
      <c r="S154" s="2"/>
      <c r="T154" s="2"/>
    </row>
    <row r="155" spans="1:20">
      <c r="C155" s="107"/>
      <c r="D155" s="107"/>
      <c r="E155" s="155"/>
      <c r="F155" s="217"/>
      <c r="G155" s="217"/>
      <c r="H155" s="107"/>
      <c r="I155" s="107"/>
      <c r="K155" s="217"/>
      <c r="L155" s="217"/>
      <c r="M155" s="217"/>
      <c r="R155" s="2"/>
      <c r="S155" s="2"/>
      <c r="T155" s="2"/>
    </row>
    <row r="156" spans="1:20">
      <c r="R156" s="2"/>
      <c r="S156" s="2"/>
      <c r="T156" s="2"/>
    </row>
    <row r="157" spans="1:20" ht="18">
      <c r="A157" s="3" t="s">
        <v>2</v>
      </c>
      <c r="B157" s="4" t="s">
        <v>278</v>
      </c>
      <c r="C157" s="4" t="s">
        <v>41</v>
      </c>
      <c r="D157" s="4" t="s">
        <v>9</v>
      </c>
      <c r="E157" s="4" t="s">
        <v>42</v>
      </c>
      <c r="F157" s="4" t="s">
        <v>66</v>
      </c>
      <c r="G157" s="163" t="s">
        <v>67</v>
      </c>
      <c r="H157" s="4" t="s">
        <v>227</v>
      </c>
      <c r="I157" s="2"/>
      <c r="K157" s="2"/>
      <c r="L157" s="2"/>
      <c r="R157" s="2"/>
      <c r="S157" s="2"/>
      <c r="T157" s="2"/>
    </row>
    <row r="158" spans="1:20">
      <c r="A158" s="7"/>
      <c r="B158" s="8" t="s">
        <v>279</v>
      </c>
      <c r="C158" s="8" t="s">
        <v>19</v>
      </c>
      <c r="D158" s="8" t="s">
        <v>18</v>
      </c>
      <c r="E158" s="8" t="s">
        <v>18</v>
      </c>
      <c r="F158" s="8" t="s">
        <v>17</v>
      </c>
      <c r="G158" s="164" t="s">
        <v>17</v>
      </c>
      <c r="H158" s="56" t="s">
        <v>17</v>
      </c>
      <c r="I158" s="2"/>
      <c r="K158" s="2"/>
      <c r="L158" s="2"/>
      <c r="R158" s="2"/>
      <c r="S158" s="2"/>
      <c r="T158" s="2"/>
    </row>
    <row r="159" spans="1:20" ht="45">
      <c r="A159" s="224" t="s">
        <v>1065</v>
      </c>
      <c r="B159" s="212">
        <v>80</v>
      </c>
      <c r="C159" s="57">
        <v>7</v>
      </c>
      <c r="D159" s="57">
        <v>8</v>
      </c>
      <c r="E159" s="221">
        <f t="shared" ref="E159" si="105">B159-10</f>
        <v>70</v>
      </c>
      <c r="F159" s="221">
        <f t="shared" ref="F159" si="106">(0.52*SQRT(D159)*E159^0.9*$B$110^0.8)/1000</f>
        <v>7.8796178754106014</v>
      </c>
      <c r="G159" s="220">
        <f t="shared" ref="G159:G164" si="107">MIN(2.3*SQRT($C$111*$C$114*$C$112)/1000+(F159/4),$C$112*$C$114*E159/1000,$C$112*$C$114*E159/1000*(SQRT(2+4*$C$111/($C$112*$C$114*E159^2))-1)+F159/4)</f>
        <v>5.7539958910348616</v>
      </c>
      <c r="H159" s="221">
        <f t="shared" ref="H159" si="108">G159</f>
        <v>5.7539958910348616</v>
      </c>
      <c r="I159" s="2"/>
      <c r="K159" s="2"/>
      <c r="L159" s="2"/>
      <c r="R159" s="2"/>
      <c r="S159" s="2"/>
      <c r="T159" s="2"/>
    </row>
    <row r="160" spans="1:20" ht="45">
      <c r="A160" s="224" t="s">
        <v>1066</v>
      </c>
      <c r="B160" s="212">
        <v>80</v>
      </c>
      <c r="C160" s="57">
        <v>10</v>
      </c>
      <c r="D160" s="57">
        <v>8</v>
      </c>
      <c r="E160" s="221">
        <f t="shared" ref="E160:E164" si="109">B160-10</f>
        <v>70</v>
      </c>
      <c r="F160" s="221">
        <f t="shared" ref="F160:F173" si="110">(0.52*SQRT(D160)*E160^0.9*$B$110^0.8)/1000</f>
        <v>7.8796178754106014</v>
      </c>
      <c r="G160" s="220">
        <f t="shared" si="107"/>
        <v>5.7539958910348616</v>
      </c>
      <c r="H160" s="221">
        <f t="shared" ref="H160:H173" si="111">G160</f>
        <v>5.7539958910348616</v>
      </c>
      <c r="I160" s="107"/>
      <c r="K160" s="217"/>
      <c r="L160" s="217"/>
      <c r="R160" s="2"/>
      <c r="S160" s="2"/>
      <c r="T160" s="2"/>
    </row>
    <row r="161" spans="1:20" ht="45.75" thickBot="1">
      <c r="A161" s="585" t="s">
        <v>1067</v>
      </c>
      <c r="B161" s="518">
        <v>80</v>
      </c>
      <c r="C161" s="562">
        <v>10</v>
      </c>
      <c r="D161" s="562">
        <v>8</v>
      </c>
      <c r="E161" s="603">
        <f t="shared" si="109"/>
        <v>70</v>
      </c>
      <c r="F161" s="603">
        <f t="shared" si="110"/>
        <v>7.8796178754106014</v>
      </c>
      <c r="G161" s="602">
        <f t="shared" si="107"/>
        <v>5.7539958910348616</v>
      </c>
      <c r="H161" s="603">
        <f t="shared" si="111"/>
        <v>5.7539958910348616</v>
      </c>
      <c r="I161" s="107"/>
      <c r="K161" s="217"/>
      <c r="L161" s="217"/>
      <c r="R161" s="2"/>
      <c r="S161" s="2"/>
      <c r="T161" s="2"/>
    </row>
    <row r="162" spans="1:20" ht="45">
      <c r="A162" s="269" t="s">
        <v>1068</v>
      </c>
      <c r="B162" s="260">
        <v>80</v>
      </c>
      <c r="C162" s="616">
        <v>8</v>
      </c>
      <c r="D162" s="616">
        <v>8</v>
      </c>
      <c r="E162" s="634">
        <f t="shared" ref="E162" si="112">B162-10</f>
        <v>70</v>
      </c>
      <c r="F162" s="634">
        <f t="shared" ref="F162" si="113">(0.52*SQRT(D162)*E162^0.9*$B$110^0.8)/1000</f>
        <v>7.8796178754106014</v>
      </c>
      <c r="G162" s="633">
        <f t="shared" si="107"/>
        <v>5.7539958910348616</v>
      </c>
      <c r="H162" s="634">
        <f t="shared" ref="H162" si="114">G162</f>
        <v>5.7539958910348616</v>
      </c>
      <c r="I162" s="107"/>
      <c r="K162" s="217"/>
      <c r="L162" s="217"/>
      <c r="R162" s="2"/>
      <c r="S162" s="2"/>
      <c r="T162" s="2"/>
    </row>
    <row r="163" spans="1:20" ht="45">
      <c r="A163" s="224" t="s">
        <v>1069</v>
      </c>
      <c r="B163" s="260">
        <v>80</v>
      </c>
      <c r="C163" s="261">
        <v>16</v>
      </c>
      <c r="D163" s="261">
        <v>8</v>
      </c>
      <c r="E163" s="609">
        <f t="shared" si="109"/>
        <v>70</v>
      </c>
      <c r="F163" s="609">
        <f t="shared" si="110"/>
        <v>7.8796178754106014</v>
      </c>
      <c r="G163" s="608">
        <f t="shared" si="107"/>
        <v>5.7539958910348616</v>
      </c>
      <c r="H163" s="609">
        <f t="shared" si="111"/>
        <v>5.7539958910348616</v>
      </c>
      <c r="I163" s="109"/>
      <c r="K163" s="219"/>
      <c r="L163" s="219"/>
      <c r="R163" s="2"/>
      <c r="S163" s="2"/>
      <c r="T163" s="2"/>
    </row>
    <row r="164" spans="1:20" ht="45.75" thickBot="1">
      <c r="A164" s="585" t="s">
        <v>1070</v>
      </c>
      <c r="B164" s="518">
        <v>80</v>
      </c>
      <c r="C164" s="562">
        <v>16</v>
      </c>
      <c r="D164" s="562">
        <v>8</v>
      </c>
      <c r="E164" s="603">
        <f t="shared" si="109"/>
        <v>70</v>
      </c>
      <c r="F164" s="603">
        <f t="shared" si="110"/>
        <v>7.8796178754106014</v>
      </c>
      <c r="G164" s="602">
        <f t="shared" si="107"/>
        <v>5.7539958910348616</v>
      </c>
      <c r="H164" s="603">
        <f t="shared" si="111"/>
        <v>5.7539958910348616</v>
      </c>
      <c r="I164" s="109"/>
      <c r="K164" s="219"/>
      <c r="L164" s="219"/>
      <c r="R164" s="2"/>
      <c r="S164" s="2"/>
      <c r="T164" s="2"/>
    </row>
    <row r="165" spans="1:20" ht="45">
      <c r="A165" s="269" t="s">
        <v>1071</v>
      </c>
      <c r="B165" s="260">
        <v>100</v>
      </c>
      <c r="C165" s="261">
        <v>8</v>
      </c>
      <c r="D165" s="261">
        <v>10</v>
      </c>
      <c r="E165" s="609">
        <f>B165-15</f>
        <v>85</v>
      </c>
      <c r="F165" s="609">
        <f t="shared" ref="F165" si="115">(0.52*SQRT(D165)*E165^0.9*$B$110^0.8)/1000</f>
        <v>10.491774806064372</v>
      </c>
      <c r="G165" s="608">
        <f t="shared" ref="G165" si="116">MIN(2.3*SQRT($B$111*$B$114*$B$112)/1000+(F165/4),$B$112*$B$114*E165/1000,$B$112*$B$114*E165/1000*(SQRT(2+4*$B$111/($B$112*$B$114*E165^2))-1)+F165/4)</f>
        <v>8.0354591525640107</v>
      </c>
      <c r="H165" s="609">
        <f t="shared" ref="H165" si="117">G165</f>
        <v>8.0354591525640107</v>
      </c>
      <c r="I165" s="109"/>
      <c r="K165" s="219"/>
      <c r="L165" s="219"/>
      <c r="R165" s="2"/>
      <c r="S165" s="2"/>
      <c r="T165" s="2"/>
    </row>
    <row r="166" spans="1:20" ht="45">
      <c r="A166" s="224" t="s">
        <v>1072</v>
      </c>
      <c r="B166" s="260">
        <v>100</v>
      </c>
      <c r="C166" s="261">
        <v>16</v>
      </c>
      <c r="D166" s="261">
        <v>10</v>
      </c>
      <c r="E166" s="609">
        <f>B166-15</f>
        <v>85</v>
      </c>
      <c r="F166" s="609">
        <f t="shared" si="110"/>
        <v>10.491774806064372</v>
      </c>
      <c r="G166" s="608">
        <f t="shared" ref="G166:G173" si="118">MIN(2.3*SQRT($B$111*$B$114*$B$112)/1000+(F166/4),$B$112*$B$114*E166/1000,$B$112*$B$114*E166/1000*(SQRT(2+4*$B$111/($B$112*$B$114*E166^2))-1)+F166/4)</f>
        <v>8.0354591525640107</v>
      </c>
      <c r="H166" s="609">
        <f t="shared" si="111"/>
        <v>8.0354591525640107</v>
      </c>
      <c r="I166" s="109"/>
      <c r="K166" s="219"/>
      <c r="L166" s="219"/>
      <c r="R166" s="2"/>
      <c r="S166" s="2"/>
      <c r="T166" s="2"/>
    </row>
    <row r="167" spans="1:20" ht="45.75" thickBot="1">
      <c r="A167" s="585" t="s">
        <v>1073</v>
      </c>
      <c r="B167" s="518">
        <v>100</v>
      </c>
      <c r="C167" s="562">
        <v>16</v>
      </c>
      <c r="D167" s="562">
        <v>10</v>
      </c>
      <c r="E167" s="603">
        <f t="shared" ref="E167:E173" si="119">B167-15</f>
        <v>85</v>
      </c>
      <c r="F167" s="603">
        <f t="shared" si="110"/>
        <v>10.491774806064372</v>
      </c>
      <c r="G167" s="602">
        <f t="shared" si="118"/>
        <v>8.0354591525640107</v>
      </c>
      <c r="H167" s="603">
        <f t="shared" si="111"/>
        <v>8.0354591525640107</v>
      </c>
      <c r="I167" s="109"/>
      <c r="K167" s="219"/>
      <c r="L167" s="219"/>
      <c r="R167" s="2"/>
      <c r="S167" s="2"/>
      <c r="T167" s="2"/>
    </row>
    <row r="168" spans="1:20" ht="45">
      <c r="A168" s="269" t="s">
        <v>1074</v>
      </c>
      <c r="B168" s="260">
        <v>100</v>
      </c>
      <c r="C168" s="261">
        <v>8</v>
      </c>
      <c r="D168" s="261">
        <v>10</v>
      </c>
      <c r="E168" s="609">
        <f t="shared" ref="E168" si="120">B168-15</f>
        <v>85</v>
      </c>
      <c r="F168" s="609">
        <f t="shared" ref="F168" si="121">(0.52*SQRT(D168)*E168^0.9*$B$110^0.8)/1000</f>
        <v>10.491774806064372</v>
      </c>
      <c r="G168" s="608">
        <f t="shared" ref="G168" si="122">MIN(2.3*SQRT($B$111*$B$114*$B$112)/1000+(F168/4),$B$112*$B$114*E168/1000,$B$112*$B$114*E168/1000*(SQRT(2+4*$B$111/($B$112*$B$114*E168^2))-1)+F168/4)</f>
        <v>8.0354591525640107</v>
      </c>
      <c r="H168" s="609">
        <f t="shared" ref="H168" si="123">G168</f>
        <v>8.0354591525640107</v>
      </c>
      <c r="I168" s="109"/>
      <c r="K168" s="219"/>
      <c r="L168" s="219"/>
      <c r="R168" s="2"/>
      <c r="S168" s="2"/>
      <c r="T168" s="2"/>
    </row>
    <row r="169" spans="1:20" ht="45">
      <c r="A169" s="224" t="s">
        <v>1075</v>
      </c>
      <c r="B169" s="260">
        <v>100</v>
      </c>
      <c r="C169" s="261">
        <v>25</v>
      </c>
      <c r="D169" s="261">
        <v>10</v>
      </c>
      <c r="E169" s="609">
        <f t="shared" si="119"/>
        <v>85</v>
      </c>
      <c r="F169" s="609">
        <f t="shared" si="110"/>
        <v>10.491774806064372</v>
      </c>
      <c r="G169" s="608">
        <f t="shared" si="118"/>
        <v>8.0354591525640107</v>
      </c>
      <c r="H169" s="609">
        <f t="shared" si="111"/>
        <v>8.0354591525640107</v>
      </c>
      <c r="I169" s="109"/>
      <c r="K169" s="219"/>
      <c r="L169" s="219"/>
      <c r="R169" s="2"/>
      <c r="S169" s="2"/>
      <c r="T169" s="2"/>
    </row>
    <row r="170" spans="1:20" ht="45.75" thickBot="1">
      <c r="A170" s="585" t="s">
        <v>1076</v>
      </c>
      <c r="B170" s="518">
        <v>100</v>
      </c>
      <c r="C170" s="562">
        <v>25</v>
      </c>
      <c r="D170" s="562">
        <v>10</v>
      </c>
      <c r="E170" s="603">
        <f t="shared" si="119"/>
        <v>85</v>
      </c>
      <c r="F170" s="603">
        <f t="shared" si="110"/>
        <v>10.491774806064372</v>
      </c>
      <c r="G170" s="602">
        <f t="shared" si="118"/>
        <v>8.0354591525640107</v>
      </c>
      <c r="H170" s="603">
        <f t="shared" si="111"/>
        <v>8.0354591525640107</v>
      </c>
      <c r="I170" s="109"/>
      <c r="K170" s="219"/>
      <c r="L170" s="219"/>
      <c r="R170" s="2"/>
      <c r="S170" s="2"/>
      <c r="T170" s="2"/>
    </row>
    <row r="171" spans="1:20" ht="45">
      <c r="A171" s="269" t="s">
        <v>1077</v>
      </c>
      <c r="B171" s="260">
        <v>100</v>
      </c>
      <c r="C171" s="261">
        <v>28</v>
      </c>
      <c r="D171" s="261">
        <v>10</v>
      </c>
      <c r="E171" s="609">
        <f t="shared" ref="E171" si="124">B171-15</f>
        <v>85</v>
      </c>
      <c r="F171" s="609">
        <f t="shared" ref="F171" si="125">(0.52*SQRT(D171)*E171^0.9*$B$110^0.8)/1000</f>
        <v>10.491774806064372</v>
      </c>
      <c r="G171" s="608">
        <f t="shared" ref="G171" si="126">MIN(2.3*SQRT($B$111*$B$114*$B$112)/1000+(F171/4),$B$112*$B$114*E171/1000,$B$112*$B$114*E171/1000*(SQRT(2+4*$B$111/($B$112*$B$114*E171^2))-1)+F171/4)</f>
        <v>8.0354591525640107</v>
      </c>
      <c r="H171" s="609">
        <f t="shared" ref="H171" si="127">G171</f>
        <v>8.0354591525640107</v>
      </c>
      <c r="I171" s="109"/>
      <c r="K171" s="219"/>
      <c r="L171" s="219"/>
      <c r="R171" s="2"/>
      <c r="S171" s="2"/>
      <c r="T171" s="2"/>
    </row>
    <row r="172" spans="1:20" ht="45">
      <c r="A172" s="224" t="s">
        <v>1078</v>
      </c>
      <c r="B172" s="212">
        <v>100</v>
      </c>
      <c r="C172" s="57">
        <v>28</v>
      </c>
      <c r="D172" s="57">
        <v>10</v>
      </c>
      <c r="E172" s="221">
        <f t="shared" si="119"/>
        <v>85</v>
      </c>
      <c r="F172" s="221">
        <f t="shared" si="110"/>
        <v>10.491774806064372</v>
      </c>
      <c r="G172" s="220">
        <f t="shared" si="118"/>
        <v>8.0354591525640107</v>
      </c>
      <c r="H172" s="221">
        <f t="shared" si="111"/>
        <v>8.0354591525640107</v>
      </c>
      <c r="I172" s="109"/>
      <c r="K172" s="219"/>
      <c r="L172" s="219"/>
      <c r="R172" s="2"/>
      <c r="S172" s="2"/>
      <c r="T172" s="2"/>
    </row>
    <row r="173" spans="1:20" ht="45">
      <c r="A173" s="224" t="s">
        <v>1079</v>
      </c>
      <c r="B173" s="212">
        <v>100</v>
      </c>
      <c r="C173" s="57">
        <v>28</v>
      </c>
      <c r="D173" s="57">
        <v>10</v>
      </c>
      <c r="E173" s="221">
        <f t="shared" si="119"/>
        <v>85</v>
      </c>
      <c r="F173" s="221">
        <f t="shared" si="110"/>
        <v>10.491774806064372</v>
      </c>
      <c r="G173" s="220">
        <f t="shared" si="118"/>
        <v>8.0354591525640107</v>
      </c>
      <c r="H173" s="221">
        <f t="shared" si="111"/>
        <v>8.0354591525640107</v>
      </c>
      <c r="I173" s="66"/>
      <c r="K173" s="223"/>
      <c r="L173" s="223"/>
      <c r="R173" s="2"/>
      <c r="S173" s="2"/>
      <c r="T173" s="2"/>
    </row>
    <row r="174" spans="1:20">
      <c r="M174" s="166"/>
      <c r="R174" s="2"/>
      <c r="S174" s="2"/>
      <c r="T174" s="2"/>
    </row>
    <row r="175" spans="1:20">
      <c r="R175" s="2"/>
      <c r="S175" s="2"/>
      <c r="T175" s="2"/>
    </row>
    <row r="176" spans="1:20" ht="18">
      <c r="A176" s="3" t="s">
        <v>2</v>
      </c>
      <c r="B176" s="3" t="s">
        <v>314</v>
      </c>
      <c r="C176" s="4" t="s">
        <v>181</v>
      </c>
      <c r="D176" s="4" t="s">
        <v>228</v>
      </c>
      <c r="E176" s="4" t="s">
        <v>150</v>
      </c>
      <c r="F176" s="4" t="s">
        <v>155</v>
      </c>
      <c r="G176" s="4" t="s">
        <v>175</v>
      </c>
      <c r="H176" s="4" t="s">
        <v>229</v>
      </c>
      <c r="I176" s="4" t="s">
        <v>157</v>
      </c>
      <c r="J176" s="4" t="s">
        <v>185</v>
      </c>
      <c r="R176" s="2"/>
      <c r="S176" s="2"/>
      <c r="T176" s="2"/>
    </row>
    <row r="177" spans="1:20">
      <c r="A177" s="7"/>
      <c r="B177" s="7"/>
      <c r="C177" s="56" t="s">
        <v>17</v>
      </c>
      <c r="D177" s="56" t="s">
        <v>17</v>
      </c>
      <c r="E177" s="8" t="s">
        <v>19</v>
      </c>
      <c r="F177" s="8" t="s">
        <v>75</v>
      </c>
      <c r="G177" s="8" t="s">
        <v>75</v>
      </c>
      <c r="H177" s="8" t="s">
        <v>75</v>
      </c>
      <c r="I177" s="8" t="s">
        <v>18</v>
      </c>
      <c r="J177" s="8" t="s">
        <v>17</v>
      </c>
      <c r="R177" s="2"/>
      <c r="S177" s="2"/>
      <c r="T177" s="2"/>
    </row>
    <row r="178" spans="1:20" ht="45">
      <c r="A178" s="224" t="s">
        <v>1065</v>
      </c>
      <c r="B178" s="396" t="s">
        <v>1276</v>
      </c>
      <c r="C178" s="212">
        <f t="shared" ref="C178:C192" si="128">H159</f>
        <v>5.7539958910348616</v>
      </c>
      <c r="D178" s="212">
        <f t="shared" ref="D178:D192" si="129">(C159*F159)/(C159)</f>
        <v>7.8796178754106014</v>
      </c>
      <c r="E178" s="57">
        <f>C159</f>
        <v>7</v>
      </c>
      <c r="F178" s="640">
        <v>247</v>
      </c>
      <c r="G178" s="221">
        <v>529</v>
      </c>
      <c r="H178" s="582">
        <v>5.9</v>
      </c>
      <c r="I178" s="212">
        <f>G140</f>
        <v>0</v>
      </c>
      <c r="J178" s="212">
        <f t="shared" ref="J178" si="130">C178/(SQRT((1/E178+I178/F178)^2+(I178/G178)^2+(C178/(H178*D178))^2))</f>
        <v>30.441881645968998</v>
      </c>
      <c r="R178" s="2"/>
      <c r="S178" s="2"/>
      <c r="T178" s="2"/>
    </row>
    <row r="179" spans="1:20" ht="45">
      <c r="A179" s="224" t="s">
        <v>1066</v>
      </c>
      <c r="B179" s="396" t="s">
        <v>1275</v>
      </c>
      <c r="C179" s="212">
        <f t="shared" si="128"/>
        <v>5.7539958910348616</v>
      </c>
      <c r="D179" s="212">
        <f t="shared" si="129"/>
        <v>7.8796178754106005</v>
      </c>
      <c r="E179" s="57">
        <f t="shared" ref="E179:E192" si="131">C160</f>
        <v>10</v>
      </c>
      <c r="F179" s="640">
        <v>313</v>
      </c>
      <c r="G179" s="221">
        <v>683</v>
      </c>
      <c r="H179" s="582">
        <v>8.25</v>
      </c>
      <c r="I179" s="212">
        <f>G141</f>
        <v>0</v>
      </c>
      <c r="J179" s="212">
        <f t="shared" ref="J179:J192" si="132">C179/(SQRT((1/E179+I179/F179)^2+(I179/G179)^2+(C179/(H179*D179))^2))</f>
        <v>43.086078650436022</v>
      </c>
      <c r="R179" s="2"/>
      <c r="S179" s="2"/>
      <c r="T179" s="2"/>
    </row>
    <row r="180" spans="1:20" ht="45.75" thickBot="1">
      <c r="A180" s="585" t="s">
        <v>1067</v>
      </c>
      <c r="B180" s="637" t="s">
        <v>1275</v>
      </c>
      <c r="C180" s="518">
        <f t="shared" si="128"/>
        <v>5.7539958910348616</v>
      </c>
      <c r="D180" s="518">
        <f t="shared" si="129"/>
        <v>7.8796178754106005</v>
      </c>
      <c r="E180" s="562">
        <f t="shared" si="131"/>
        <v>10</v>
      </c>
      <c r="F180" s="642">
        <v>313</v>
      </c>
      <c r="G180" s="603">
        <v>683</v>
      </c>
      <c r="H180" s="643">
        <v>8.25</v>
      </c>
      <c r="I180" s="518">
        <f t="shared" ref="I180:I192" si="133">I179</f>
        <v>0</v>
      </c>
      <c r="J180" s="518">
        <f t="shared" si="132"/>
        <v>43.086078650436022</v>
      </c>
      <c r="R180" s="2"/>
      <c r="S180" s="2"/>
      <c r="T180" s="2"/>
    </row>
    <row r="181" spans="1:20" ht="45">
      <c r="A181" s="269" t="s">
        <v>1068</v>
      </c>
      <c r="B181" s="76" t="s">
        <v>1278</v>
      </c>
      <c r="C181" s="624">
        <f t="shared" si="128"/>
        <v>5.7539958910348616</v>
      </c>
      <c r="D181" s="624">
        <f t="shared" si="129"/>
        <v>7.8796178754106014</v>
      </c>
      <c r="E181" s="616">
        <f t="shared" si="131"/>
        <v>8</v>
      </c>
      <c r="F181" s="644">
        <v>318</v>
      </c>
      <c r="G181" s="634">
        <v>868</v>
      </c>
      <c r="H181" s="645">
        <v>6.48</v>
      </c>
      <c r="I181" s="624">
        <f>I179</f>
        <v>0</v>
      </c>
      <c r="J181" s="624">
        <f t="shared" ref="J181" si="134">C181/(SQRT((1/E181+I181/F181)^2+(I181/G181)^2+(C181/(H181*D181))^2))</f>
        <v>34.189297851804376</v>
      </c>
      <c r="R181" s="2"/>
      <c r="S181" s="2"/>
      <c r="T181" s="2"/>
    </row>
    <row r="182" spans="1:20" ht="45">
      <c r="A182" s="224" t="s">
        <v>1069</v>
      </c>
      <c r="B182" s="396" t="s">
        <v>1277</v>
      </c>
      <c r="C182" s="260">
        <f t="shared" si="128"/>
        <v>5.7539958910348616</v>
      </c>
      <c r="D182" s="260">
        <f t="shared" si="129"/>
        <v>7.8796178754106014</v>
      </c>
      <c r="E182" s="261">
        <f t="shared" si="131"/>
        <v>16</v>
      </c>
      <c r="F182" s="641">
        <v>590</v>
      </c>
      <c r="G182" s="609">
        <v>2061</v>
      </c>
      <c r="H182" s="588">
        <v>13</v>
      </c>
      <c r="I182" s="260">
        <f>I180</f>
        <v>0</v>
      </c>
      <c r="J182" s="260">
        <f t="shared" si="132"/>
        <v>68.472977152923534</v>
      </c>
      <c r="R182" s="2"/>
      <c r="S182" s="2"/>
      <c r="T182" s="2"/>
    </row>
    <row r="183" spans="1:20" ht="45.75" thickBot="1">
      <c r="A183" s="585" t="s">
        <v>1070</v>
      </c>
      <c r="B183" s="637" t="s">
        <v>1277</v>
      </c>
      <c r="C183" s="518">
        <f t="shared" si="128"/>
        <v>5.7539958910348616</v>
      </c>
      <c r="D183" s="518">
        <f t="shared" si="129"/>
        <v>7.8796178754106014</v>
      </c>
      <c r="E183" s="562">
        <f t="shared" si="131"/>
        <v>16</v>
      </c>
      <c r="F183" s="642">
        <v>590</v>
      </c>
      <c r="G183" s="603">
        <v>2061</v>
      </c>
      <c r="H183" s="643">
        <v>13</v>
      </c>
      <c r="I183" s="518">
        <f t="shared" si="133"/>
        <v>0</v>
      </c>
      <c r="J183" s="518">
        <f t="shared" si="132"/>
        <v>68.472977152923534</v>
      </c>
      <c r="R183" s="2"/>
      <c r="S183" s="2"/>
      <c r="T183" s="2"/>
    </row>
    <row r="184" spans="1:20" ht="45">
      <c r="A184" s="269" t="s">
        <v>1071</v>
      </c>
      <c r="B184" s="76" t="s">
        <v>1280</v>
      </c>
      <c r="C184" s="260">
        <f t="shared" si="128"/>
        <v>8.0354591525640107</v>
      </c>
      <c r="D184" s="260">
        <f t="shared" si="129"/>
        <v>10.491774806064372</v>
      </c>
      <c r="E184" s="261">
        <f t="shared" si="131"/>
        <v>8</v>
      </c>
      <c r="F184" s="641">
        <v>360</v>
      </c>
      <c r="G184" s="609">
        <v>720</v>
      </c>
      <c r="H184" s="588">
        <v>8.67</v>
      </c>
      <c r="I184" s="260">
        <f>I182</f>
        <v>0</v>
      </c>
      <c r="J184" s="260">
        <f t="shared" ref="J184" si="135">C184/(SQRT((1/E184+I184/F184)^2+(I184/G184)^2+(C184/(H184*D184))^2))</f>
        <v>52.497563521736147</v>
      </c>
      <c r="R184" s="2"/>
      <c r="S184" s="2"/>
      <c r="T184" s="2"/>
    </row>
    <row r="185" spans="1:20" ht="45">
      <c r="A185" s="224" t="s">
        <v>1072</v>
      </c>
      <c r="B185" s="396" t="s">
        <v>1279</v>
      </c>
      <c r="C185" s="260">
        <f t="shared" si="128"/>
        <v>8.0354591525640107</v>
      </c>
      <c r="D185" s="260">
        <f t="shared" si="129"/>
        <v>10.491774806064372</v>
      </c>
      <c r="E185" s="57">
        <f t="shared" si="131"/>
        <v>16</v>
      </c>
      <c r="F185" s="641">
        <v>665</v>
      </c>
      <c r="G185" s="609">
        <v>1678</v>
      </c>
      <c r="H185" s="588">
        <v>17.3</v>
      </c>
      <c r="I185" s="260">
        <f>I183</f>
        <v>0</v>
      </c>
      <c r="J185" s="260">
        <f t="shared" si="132"/>
        <v>104.91426865436597</v>
      </c>
      <c r="R185" s="2"/>
      <c r="S185" s="2"/>
      <c r="T185" s="2"/>
    </row>
    <row r="186" spans="1:20" ht="45.75" thickBot="1">
      <c r="A186" s="585" t="s">
        <v>1073</v>
      </c>
      <c r="B186" s="637" t="s">
        <v>1279</v>
      </c>
      <c r="C186" s="518">
        <f t="shared" si="128"/>
        <v>8.0354591525640107</v>
      </c>
      <c r="D186" s="518">
        <f t="shared" si="129"/>
        <v>10.491774806064372</v>
      </c>
      <c r="E186" s="562">
        <f t="shared" si="131"/>
        <v>16</v>
      </c>
      <c r="F186" s="642">
        <v>665</v>
      </c>
      <c r="G186" s="603">
        <v>1678</v>
      </c>
      <c r="H186" s="643">
        <v>17.3</v>
      </c>
      <c r="I186" s="518">
        <f t="shared" si="133"/>
        <v>0</v>
      </c>
      <c r="J186" s="518">
        <f t="shared" si="132"/>
        <v>104.91426865436597</v>
      </c>
      <c r="R186" s="2"/>
      <c r="S186" s="2"/>
      <c r="T186" s="2"/>
    </row>
    <row r="187" spans="1:20" ht="45">
      <c r="A187" s="269" t="s">
        <v>1074</v>
      </c>
      <c r="B187" s="76" t="s">
        <v>1280</v>
      </c>
      <c r="C187" s="260">
        <f t="shared" si="128"/>
        <v>8.0354591525640107</v>
      </c>
      <c r="D187" s="260">
        <f t="shared" si="129"/>
        <v>10.491774806064372</v>
      </c>
      <c r="E187" s="261">
        <f t="shared" si="131"/>
        <v>8</v>
      </c>
      <c r="F187" s="641">
        <v>566</v>
      </c>
      <c r="G187" s="609">
        <v>1980</v>
      </c>
      <c r="H187" s="588">
        <v>9.52</v>
      </c>
      <c r="I187" s="260">
        <f>I185</f>
        <v>0</v>
      </c>
      <c r="J187" s="260">
        <f t="shared" ref="J187" si="136">C187/(SQRT((1/E187+I187/F187)^2+(I187/G187)^2+(C187/(H187*D187))^2))</f>
        <v>54.055814905391038</v>
      </c>
      <c r="R187" s="2"/>
      <c r="S187" s="2"/>
      <c r="T187" s="2"/>
    </row>
    <row r="188" spans="1:20" ht="45">
      <c r="A188" s="224" t="s">
        <v>1075</v>
      </c>
      <c r="B188" s="396" t="s">
        <v>1281</v>
      </c>
      <c r="C188" s="260">
        <f t="shared" si="128"/>
        <v>8.0354591525640107</v>
      </c>
      <c r="D188" s="260">
        <f t="shared" si="129"/>
        <v>10.491774806064372</v>
      </c>
      <c r="E188" s="57">
        <f t="shared" si="131"/>
        <v>25</v>
      </c>
      <c r="F188" s="641">
        <v>1284</v>
      </c>
      <c r="G188" s="609">
        <v>5189</v>
      </c>
      <c r="H188" s="588">
        <v>26.8</v>
      </c>
      <c r="I188" s="260">
        <f>I186</f>
        <v>0</v>
      </c>
      <c r="J188" s="260">
        <f t="shared" si="132"/>
        <v>163.4559716110634</v>
      </c>
      <c r="R188" s="2"/>
      <c r="S188" s="2"/>
      <c r="T188" s="2"/>
    </row>
    <row r="189" spans="1:20" ht="45.75" thickBot="1">
      <c r="A189" s="585" t="s">
        <v>1076</v>
      </c>
      <c r="B189" s="637" t="s">
        <v>1281</v>
      </c>
      <c r="C189" s="518">
        <f t="shared" si="128"/>
        <v>8.0354591525640107</v>
      </c>
      <c r="D189" s="518">
        <f t="shared" si="129"/>
        <v>10.491774806064372</v>
      </c>
      <c r="E189" s="562">
        <f t="shared" si="131"/>
        <v>25</v>
      </c>
      <c r="F189" s="642">
        <v>1284</v>
      </c>
      <c r="G189" s="603">
        <v>5189</v>
      </c>
      <c r="H189" s="643">
        <v>26.8</v>
      </c>
      <c r="I189" s="518">
        <f t="shared" si="133"/>
        <v>0</v>
      </c>
      <c r="J189" s="518">
        <f t="shared" si="132"/>
        <v>163.4559716110634</v>
      </c>
      <c r="R189" s="2"/>
      <c r="S189" s="2"/>
      <c r="T189" s="2"/>
    </row>
    <row r="190" spans="1:20" ht="45">
      <c r="A190" s="269" t="s">
        <v>1077</v>
      </c>
      <c r="B190" s="357" t="s">
        <v>1282</v>
      </c>
      <c r="C190" s="260">
        <f t="shared" si="128"/>
        <v>8.0354591525640107</v>
      </c>
      <c r="D190" s="260">
        <f t="shared" si="129"/>
        <v>10.491774806064372</v>
      </c>
      <c r="E190" s="261">
        <f t="shared" si="131"/>
        <v>28</v>
      </c>
      <c r="F190" s="641">
        <v>1581</v>
      </c>
      <c r="G190" s="609">
        <v>7226</v>
      </c>
      <c r="H190" s="588">
        <v>24</v>
      </c>
      <c r="I190" s="260">
        <f>I188</f>
        <v>0</v>
      </c>
      <c r="J190" s="260">
        <f t="shared" ref="J190" si="137">C190/(SQRT((1/E190+I190/F190)^2+(I190/G190)^2+(C190/(H190*D190))^2))</f>
        <v>167.77465457907084</v>
      </c>
      <c r="R190" s="2"/>
      <c r="S190" s="2"/>
      <c r="T190" s="2"/>
    </row>
    <row r="191" spans="1:20" ht="45">
      <c r="A191" s="224" t="s">
        <v>1078</v>
      </c>
      <c r="B191" s="357" t="s">
        <v>1282</v>
      </c>
      <c r="C191" s="260">
        <f t="shared" si="128"/>
        <v>8.0354591525640107</v>
      </c>
      <c r="D191" s="260">
        <f t="shared" si="129"/>
        <v>10.491774806064372</v>
      </c>
      <c r="E191" s="57">
        <f t="shared" si="131"/>
        <v>28</v>
      </c>
      <c r="F191" s="641">
        <v>1581</v>
      </c>
      <c r="G191" s="609">
        <v>7226</v>
      </c>
      <c r="H191" s="588">
        <v>24</v>
      </c>
      <c r="I191" s="260">
        <f>I189</f>
        <v>0</v>
      </c>
      <c r="J191" s="260">
        <f t="shared" si="132"/>
        <v>167.77465457907084</v>
      </c>
      <c r="R191" s="2"/>
      <c r="S191" s="2"/>
      <c r="T191" s="2"/>
    </row>
    <row r="192" spans="1:20" ht="45">
      <c r="A192" s="224" t="s">
        <v>1079</v>
      </c>
      <c r="B192" s="350" t="s">
        <v>1283</v>
      </c>
      <c r="C192" s="212">
        <f t="shared" si="128"/>
        <v>8.0354591525640107</v>
      </c>
      <c r="D192" s="212">
        <f t="shared" si="129"/>
        <v>10.491774806064372</v>
      </c>
      <c r="E192" s="57">
        <f t="shared" si="131"/>
        <v>28</v>
      </c>
      <c r="F192" s="640">
        <v>1581</v>
      </c>
      <c r="G192" s="221">
        <v>7226</v>
      </c>
      <c r="H192" s="582">
        <v>24</v>
      </c>
      <c r="I192" s="212">
        <f t="shared" si="133"/>
        <v>0</v>
      </c>
      <c r="J192" s="212">
        <f t="shared" si="132"/>
        <v>167.77465457907084</v>
      </c>
      <c r="R192" s="2"/>
      <c r="S192" s="2"/>
      <c r="T192" s="2"/>
    </row>
    <row r="193" spans="1:22">
      <c r="R193" s="2"/>
      <c r="S193" s="2"/>
      <c r="T193" s="2"/>
    </row>
    <row r="194" spans="1:22">
      <c r="B194" s="71"/>
      <c r="E194" t="s">
        <v>69</v>
      </c>
      <c r="Q194" s="732"/>
      <c r="R194" s="732"/>
      <c r="S194" s="732"/>
      <c r="T194" s="732"/>
    </row>
    <row r="195" spans="1:22" ht="18">
      <c r="A195" s="3" t="s">
        <v>2</v>
      </c>
      <c r="B195" s="72" t="s">
        <v>159</v>
      </c>
      <c r="C195" s="72" t="s">
        <v>160</v>
      </c>
      <c r="D195" s="72" t="s">
        <v>230</v>
      </c>
      <c r="E195" s="73" t="s">
        <v>231</v>
      </c>
      <c r="G195" s="628"/>
      <c r="P195" s="3" t="s">
        <v>2</v>
      </c>
      <c r="Q195" s="664" t="s">
        <v>277</v>
      </c>
      <c r="R195" s="665"/>
      <c r="S195" s="665"/>
      <c r="T195" s="665"/>
      <c r="U195" s="666"/>
    </row>
    <row r="196" spans="1:22">
      <c r="A196" s="7"/>
      <c r="B196" s="75" t="s">
        <v>17</v>
      </c>
      <c r="C196" s="76" t="s">
        <v>17</v>
      </c>
      <c r="D196" s="76" t="s">
        <v>17</v>
      </c>
      <c r="E196" s="77" t="s">
        <v>17</v>
      </c>
      <c r="G196" s="628"/>
      <c r="P196" s="7"/>
      <c r="Q196" s="10">
        <v>0.6</v>
      </c>
      <c r="R196" s="10">
        <v>0.7</v>
      </c>
      <c r="S196" s="10">
        <v>0.8</v>
      </c>
      <c r="T196" s="10">
        <v>0.9</v>
      </c>
      <c r="U196" s="10">
        <v>1</v>
      </c>
    </row>
    <row r="197" spans="1:22" ht="45">
      <c r="A197" s="224" t="s">
        <v>1065</v>
      </c>
      <c r="B197" s="57">
        <f t="shared" ref="B197:B211" si="138">H140</f>
        <v>32.738347750152123</v>
      </c>
      <c r="C197" s="125">
        <v>34</v>
      </c>
      <c r="D197" s="212">
        <f t="shared" ref="D197:D211" si="139">J178</f>
        <v>30.441881645968998</v>
      </c>
      <c r="E197" s="221">
        <f t="shared" ref="E197" si="140">MIN(B197,D197)</f>
        <v>30.441881645968998</v>
      </c>
      <c r="G197" s="628"/>
      <c r="P197" s="224" t="s">
        <v>1065</v>
      </c>
      <c r="Q197" s="225">
        <f t="shared" ref="Q197:U211" si="141">MIN(Q$196*$B197/1.3,$C197/1,Q$196*$D197/1.3)</f>
        <v>14.05009922121646</v>
      </c>
      <c r="R197" s="225">
        <f t="shared" si="141"/>
        <v>16.391782424752538</v>
      </c>
      <c r="S197" s="225">
        <f t="shared" si="141"/>
        <v>18.733465628288613</v>
      </c>
      <c r="T197" s="635">
        <f t="shared" si="141"/>
        <v>21.075148831824691</v>
      </c>
      <c r="U197" s="635">
        <f t="shared" si="141"/>
        <v>23.416832035360766</v>
      </c>
    </row>
    <row r="198" spans="1:22" ht="45">
      <c r="A198" s="224" t="s">
        <v>1066</v>
      </c>
      <c r="B198" s="57">
        <f t="shared" si="138"/>
        <v>46.769068214503029</v>
      </c>
      <c r="C198" s="125">
        <v>34</v>
      </c>
      <c r="D198" s="212">
        <f t="shared" si="139"/>
        <v>43.086078650436022</v>
      </c>
      <c r="E198" s="221">
        <f t="shared" ref="E198:E211" si="142">MIN(B198,D198)</f>
        <v>43.086078650436022</v>
      </c>
      <c r="G198" s="629"/>
      <c r="K198" s="94"/>
      <c r="P198" s="224" t="s">
        <v>1066</v>
      </c>
      <c r="Q198" s="225">
        <f t="shared" si="141"/>
        <v>19.885882454047394</v>
      </c>
      <c r="R198" s="225">
        <f t="shared" si="141"/>
        <v>23.200196196388625</v>
      </c>
      <c r="S198" s="225">
        <f t="shared" si="141"/>
        <v>26.514509938729859</v>
      </c>
      <c r="T198" s="635">
        <f t="shared" si="141"/>
        <v>29.828823681071093</v>
      </c>
      <c r="U198" s="635">
        <f t="shared" si="141"/>
        <v>33.143137423412327</v>
      </c>
      <c r="V198" s="227"/>
    </row>
    <row r="199" spans="1:22" ht="45.75" thickBot="1">
      <c r="A199" s="585" t="s">
        <v>1067</v>
      </c>
      <c r="B199" s="562">
        <f t="shared" si="138"/>
        <v>57.809889010884739</v>
      </c>
      <c r="C199" s="630">
        <v>34</v>
      </c>
      <c r="D199" s="518">
        <f t="shared" si="139"/>
        <v>43.086078650436022</v>
      </c>
      <c r="E199" s="603">
        <f t="shared" si="142"/>
        <v>43.086078650436022</v>
      </c>
      <c r="G199" s="629"/>
      <c r="K199" s="94"/>
      <c r="P199" s="585" t="s">
        <v>1067</v>
      </c>
      <c r="Q199" s="604">
        <f t="shared" si="141"/>
        <v>19.885882454047394</v>
      </c>
      <c r="R199" s="604">
        <f t="shared" si="141"/>
        <v>23.200196196388625</v>
      </c>
      <c r="S199" s="604">
        <f t="shared" si="141"/>
        <v>26.514509938729859</v>
      </c>
      <c r="T199" s="646">
        <f t="shared" si="141"/>
        <v>29.828823681071093</v>
      </c>
      <c r="U199" s="646">
        <f t="shared" si="141"/>
        <v>33.143137423412327</v>
      </c>
      <c r="V199" s="227"/>
    </row>
    <row r="200" spans="1:22" ht="45">
      <c r="A200" s="269" t="s">
        <v>1068</v>
      </c>
      <c r="B200" s="261">
        <f t="shared" si="138"/>
        <v>37.415254571602425</v>
      </c>
      <c r="C200" s="631">
        <v>34</v>
      </c>
      <c r="D200" s="260">
        <f t="shared" si="139"/>
        <v>34.189297851804376</v>
      </c>
      <c r="E200" s="609">
        <f t="shared" ref="E200" si="143">MIN(B200,D200)</f>
        <v>34.189297851804376</v>
      </c>
      <c r="G200" s="629"/>
      <c r="K200" s="94"/>
      <c r="P200" s="269" t="s">
        <v>1068</v>
      </c>
      <c r="Q200" s="647">
        <f t="shared" si="141"/>
        <v>15.77967593160202</v>
      </c>
      <c r="R200" s="647">
        <f t="shared" si="141"/>
        <v>18.409621920202355</v>
      </c>
      <c r="S200" s="647">
        <f t="shared" si="141"/>
        <v>21.039567908802695</v>
      </c>
      <c r="T200" s="648">
        <f t="shared" si="141"/>
        <v>23.669513897403029</v>
      </c>
      <c r="U200" s="648">
        <f t="shared" si="141"/>
        <v>26.299459886003365</v>
      </c>
      <c r="V200" s="227"/>
    </row>
    <row r="201" spans="1:22" ht="45">
      <c r="A201" s="224" t="s">
        <v>1069</v>
      </c>
      <c r="B201" s="261">
        <f t="shared" si="138"/>
        <v>74.83050914320485</v>
      </c>
      <c r="C201" s="631">
        <v>34</v>
      </c>
      <c r="D201" s="260">
        <f t="shared" si="139"/>
        <v>68.472977152923534</v>
      </c>
      <c r="E201" s="609">
        <f t="shared" si="142"/>
        <v>68.472977152923534</v>
      </c>
      <c r="G201" s="629"/>
      <c r="K201" s="94"/>
      <c r="P201" s="224" t="s">
        <v>1069</v>
      </c>
      <c r="Q201" s="632">
        <f t="shared" si="141"/>
        <v>31.602912532118548</v>
      </c>
      <c r="R201" s="632">
        <f t="shared" si="141"/>
        <v>34</v>
      </c>
      <c r="S201" s="632">
        <f t="shared" si="141"/>
        <v>34</v>
      </c>
      <c r="T201" s="636">
        <f t="shared" si="141"/>
        <v>34</v>
      </c>
      <c r="U201" s="636">
        <f t="shared" si="141"/>
        <v>34</v>
      </c>
      <c r="V201" s="227"/>
    </row>
    <row r="202" spans="1:22" ht="45.75" thickBot="1">
      <c r="A202" s="585" t="s">
        <v>1070</v>
      </c>
      <c r="B202" s="562">
        <f t="shared" si="138"/>
        <v>92.495822417415582</v>
      </c>
      <c r="C202" s="630">
        <v>34</v>
      </c>
      <c r="D202" s="518">
        <f t="shared" si="139"/>
        <v>68.472977152923534</v>
      </c>
      <c r="E202" s="603">
        <f t="shared" si="142"/>
        <v>68.472977152923534</v>
      </c>
      <c r="G202" s="629"/>
      <c r="K202" s="94"/>
      <c r="P202" s="585" t="s">
        <v>1070</v>
      </c>
      <c r="Q202" s="604">
        <f t="shared" si="141"/>
        <v>31.602912532118548</v>
      </c>
      <c r="R202" s="604">
        <f t="shared" si="141"/>
        <v>34</v>
      </c>
      <c r="S202" s="604">
        <f t="shared" si="141"/>
        <v>34</v>
      </c>
      <c r="T202" s="646">
        <f t="shared" si="141"/>
        <v>34</v>
      </c>
      <c r="U202" s="646">
        <f t="shared" si="141"/>
        <v>34</v>
      </c>
      <c r="V202" s="227"/>
    </row>
    <row r="203" spans="1:22" ht="45">
      <c r="A203" s="269" t="s">
        <v>1071</v>
      </c>
      <c r="B203" s="261">
        <f t="shared" si="138"/>
        <v>52.202999785083549</v>
      </c>
      <c r="C203" s="631">
        <v>50</v>
      </c>
      <c r="D203" s="260">
        <f t="shared" si="139"/>
        <v>52.497563521736147</v>
      </c>
      <c r="E203" s="609">
        <f t="shared" ref="E203" si="144">MIN(B203,D203)</f>
        <v>52.202999785083549</v>
      </c>
      <c r="G203" s="629"/>
      <c r="K203" s="94"/>
      <c r="P203" s="269" t="s">
        <v>1071</v>
      </c>
      <c r="Q203" s="632">
        <f t="shared" si="141"/>
        <v>24.093692208500098</v>
      </c>
      <c r="R203" s="632">
        <f t="shared" si="141"/>
        <v>28.109307576583447</v>
      </c>
      <c r="S203" s="632">
        <f t="shared" si="141"/>
        <v>32.1249229446668</v>
      </c>
      <c r="T203" s="636">
        <f t="shared" si="141"/>
        <v>36.140538312750152</v>
      </c>
      <c r="U203" s="636">
        <f t="shared" si="141"/>
        <v>40.156153680833498</v>
      </c>
      <c r="V203" s="227"/>
    </row>
    <row r="204" spans="1:22" ht="45">
      <c r="A204" s="224" t="s">
        <v>1072</v>
      </c>
      <c r="B204" s="261">
        <f t="shared" si="138"/>
        <v>104.4059995701671</v>
      </c>
      <c r="C204" s="631">
        <v>50</v>
      </c>
      <c r="D204" s="260">
        <f t="shared" si="139"/>
        <v>104.91426865436597</v>
      </c>
      <c r="E204" s="609">
        <f t="shared" si="142"/>
        <v>104.4059995701671</v>
      </c>
      <c r="G204" s="629"/>
      <c r="K204" s="94"/>
      <c r="P204" s="224" t="s">
        <v>1072</v>
      </c>
      <c r="Q204" s="632">
        <f t="shared" si="141"/>
        <v>48.187384417000196</v>
      </c>
      <c r="R204" s="632">
        <f t="shared" si="141"/>
        <v>50</v>
      </c>
      <c r="S204" s="632">
        <f t="shared" si="141"/>
        <v>50</v>
      </c>
      <c r="T204" s="636">
        <f t="shared" si="141"/>
        <v>50</v>
      </c>
      <c r="U204" s="636">
        <f t="shared" si="141"/>
        <v>50</v>
      </c>
      <c r="V204" s="227"/>
    </row>
    <row r="205" spans="1:22" ht="45.75" thickBot="1">
      <c r="A205" s="585" t="s">
        <v>1073</v>
      </c>
      <c r="B205" s="562">
        <f t="shared" si="138"/>
        <v>128.56255096474078</v>
      </c>
      <c r="C205" s="630">
        <v>50</v>
      </c>
      <c r="D205" s="518">
        <f t="shared" si="139"/>
        <v>104.91426865436597</v>
      </c>
      <c r="E205" s="603">
        <f t="shared" si="142"/>
        <v>104.91426865436597</v>
      </c>
      <c r="G205" s="629"/>
      <c r="K205" s="94"/>
      <c r="P205" s="585" t="s">
        <v>1073</v>
      </c>
      <c r="Q205" s="604">
        <f t="shared" si="141"/>
        <v>48.421970148168903</v>
      </c>
      <c r="R205" s="604">
        <f t="shared" si="141"/>
        <v>50</v>
      </c>
      <c r="S205" s="604">
        <f t="shared" si="141"/>
        <v>50</v>
      </c>
      <c r="T205" s="646">
        <f t="shared" si="141"/>
        <v>50</v>
      </c>
      <c r="U205" s="646">
        <f t="shared" si="141"/>
        <v>50</v>
      </c>
      <c r="V205" s="227"/>
    </row>
    <row r="206" spans="1:22" ht="45">
      <c r="A206" s="269" t="s">
        <v>1074</v>
      </c>
      <c r="B206" s="261">
        <f t="shared" si="138"/>
        <v>52.202999785083549</v>
      </c>
      <c r="C206" s="631">
        <v>50</v>
      </c>
      <c r="D206" s="260">
        <f t="shared" si="139"/>
        <v>54.055814905391038</v>
      </c>
      <c r="E206" s="609">
        <f t="shared" ref="E206" si="145">MIN(B206,D206)</f>
        <v>52.202999785083549</v>
      </c>
      <c r="G206" s="629"/>
      <c r="K206" s="94"/>
      <c r="P206" s="269" t="s">
        <v>1074</v>
      </c>
      <c r="Q206" s="632">
        <f t="shared" si="141"/>
        <v>24.093692208500098</v>
      </c>
      <c r="R206" s="632">
        <f t="shared" si="141"/>
        <v>28.109307576583447</v>
      </c>
      <c r="S206" s="632">
        <f t="shared" si="141"/>
        <v>32.1249229446668</v>
      </c>
      <c r="T206" s="636">
        <f t="shared" si="141"/>
        <v>36.140538312750152</v>
      </c>
      <c r="U206" s="636">
        <f t="shared" si="141"/>
        <v>40.156153680833498</v>
      </c>
      <c r="V206" s="227"/>
    </row>
    <row r="207" spans="1:22" ht="45">
      <c r="A207" s="224" t="s">
        <v>1075</v>
      </c>
      <c r="B207" s="261">
        <f t="shared" si="138"/>
        <v>163.13437432838609</v>
      </c>
      <c r="C207" s="631">
        <v>50</v>
      </c>
      <c r="D207" s="260">
        <f t="shared" si="139"/>
        <v>163.4559716110634</v>
      </c>
      <c r="E207" s="609">
        <f t="shared" si="142"/>
        <v>163.13437432838609</v>
      </c>
      <c r="G207" s="629"/>
      <c r="K207" s="94"/>
      <c r="P207" s="224" t="s">
        <v>1075</v>
      </c>
      <c r="Q207" s="632">
        <f t="shared" si="141"/>
        <v>50</v>
      </c>
      <c r="R207" s="632">
        <f t="shared" si="141"/>
        <v>50</v>
      </c>
      <c r="S207" s="632">
        <f t="shared" si="141"/>
        <v>50</v>
      </c>
      <c r="T207" s="636">
        <f t="shared" si="141"/>
        <v>50</v>
      </c>
      <c r="U207" s="636">
        <f t="shared" si="141"/>
        <v>50</v>
      </c>
      <c r="V207" s="227"/>
    </row>
    <row r="208" spans="1:22" ht="45.75" thickBot="1">
      <c r="A208" s="585" t="s">
        <v>1076</v>
      </c>
      <c r="B208" s="562">
        <f t="shared" si="138"/>
        <v>200.87898588240748</v>
      </c>
      <c r="C208" s="630">
        <v>50</v>
      </c>
      <c r="D208" s="518">
        <f t="shared" si="139"/>
        <v>163.4559716110634</v>
      </c>
      <c r="E208" s="603">
        <f t="shared" si="142"/>
        <v>163.4559716110634</v>
      </c>
      <c r="G208" s="629"/>
      <c r="K208" s="94"/>
      <c r="P208" s="585" t="s">
        <v>1076</v>
      </c>
      <c r="Q208" s="604">
        <f t="shared" si="141"/>
        <v>50</v>
      </c>
      <c r="R208" s="604">
        <f t="shared" si="141"/>
        <v>50</v>
      </c>
      <c r="S208" s="604">
        <f t="shared" si="141"/>
        <v>50</v>
      </c>
      <c r="T208" s="646">
        <f t="shared" si="141"/>
        <v>50</v>
      </c>
      <c r="U208" s="646">
        <f t="shared" si="141"/>
        <v>50</v>
      </c>
      <c r="V208" s="227"/>
    </row>
    <row r="209" spans="1:22" ht="45">
      <c r="A209" s="269" t="s">
        <v>1077</v>
      </c>
      <c r="B209" s="261">
        <f t="shared" si="138"/>
        <v>182.71049924779243</v>
      </c>
      <c r="C209" s="631">
        <v>50</v>
      </c>
      <c r="D209" s="260">
        <f t="shared" si="139"/>
        <v>167.77465457907084</v>
      </c>
      <c r="E209" s="609">
        <f t="shared" ref="E209" si="146">MIN(B209,D209)</f>
        <v>167.77465457907084</v>
      </c>
      <c r="G209" s="629"/>
      <c r="K209" s="94"/>
      <c r="P209" s="269" t="s">
        <v>1077</v>
      </c>
      <c r="Q209" s="632">
        <f t="shared" si="141"/>
        <v>50</v>
      </c>
      <c r="R209" s="632">
        <f t="shared" si="141"/>
        <v>50</v>
      </c>
      <c r="S209" s="632">
        <f t="shared" si="141"/>
        <v>50</v>
      </c>
      <c r="T209" s="636">
        <f t="shared" si="141"/>
        <v>50</v>
      </c>
      <c r="U209" s="636">
        <f t="shared" si="141"/>
        <v>50</v>
      </c>
      <c r="V209" s="227"/>
    </row>
    <row r="210" spans="1:22" ht="45">
      <c r="A210" s="224" t="s">
        <v>1078</v>
      </c>
      <c r="B210" s="261">
        <f t="shared" si="138"/>
        <v>182.71049924779243</v>
      </c>
      <c r="C210" s="631">
        <v>50</v>
      </c>
      <c r="D210" s="260">
        <f t="shared" si="139"/>
        <v>167.77465457907084</v>
      </c>
      <c r="E210" s="609">
        <f t="shared" si="142"/>
        <v>167.77465457907084</v>
      </c>
      <c r="P210" s="224" t="s">
        <v>1078</v>
      </c>
      <c r="Q210" s="632">
        <f t="shared" si="141"/>
        <v>50</v>
      </c>
      <c r="R210" s="632">
        <f t="shared" si="141"/>
        <v>50</v>
      </c>
      <c r="S210" s="632">
        <f t="shared" si="141"/>
        <v>50</v>
      </c>
      <c r="T210" s="636">
        <f t="shared" si="141"/>
        <v>50</v>
      </c>
      <c r="U210" s="636">
        <f t="shared" si="141"/>
        <v>50</v>
      </c>
      <c r="V210" s="227"/>
    </row>
    <row r="211" spans="1:22" ht="45">
      <c r="A211" s="224" t="s">
        <v>1079</v>
      </c>
      <c r="B211" s="57">
        <f t="shared" si="138"/>
        <v>224.98446418829639</v>
      </c>
      <c r="C211" s="125">
        <v>50</v>
      </c>
      <c r="D211" s="212">
        <f t="shared" si="139"/>
        <v>167.77465457907084</v>
      </c>
      <c r="E211" s="221">
        <f t="shared" si="142"/>
        <v>167.77465457907084</v>
      </c>
      <c r="P211" s="224" t="s">
        <v>1079</v>
      </c>
      <c r="Q211" s="225">
        <f t="shared" si="141"/>
        <v>50</v>
      </c>
      <c r="R211" s="225">
        <f t="shared" si="141"/>
        <v>50</v>
      </c>
      <c r="S211" s="225">
        <f t="shared" si="141"/>
        <v>50</v>
      </c>
      <c r="T211" s="635">
        <f t="shared" si="141"/>
        <v>50</v>
      </c>
      <c r="U211" s="635">
        <f t="shared" si="141"/>
        <v>50</v>
      </c>
      <c r="V211" s="228"/>
    </row>
  </sheetData>
  <sheetProtection algorithmName="SHA-512" hashValue="If1FfuWdAW8JWJlnFPLBUXPQ2FCczibcc9xlXmNxWP4/rS1JJnPvHi+JUA4PtWr0TsmzTBpZMF4qBp6jZwNhVA==" saltValue="6EiocHNbZuaSp8u8zsgTcQ==" spinCount="100000" sheet="1" objects="1" scenarios="1" selectLockedCells="1"/>
  <customSheetViews>
    <customSheetView guid="{88029C9E-0AAA-4AEA-8FBA-3530118F01BF}">
      <selection activeCell="D22" sqref="D22"/>
      <pageMargins left="0.7" right="0.7" top="0.78740157499999996" bottom="0.78740157499999996" header="0.3" footer="0.3"/>
    </customSheetView>
  </customSheetViews>
  <mergeCells count="29">
    <mergeCell ref="M79:M80"/>
    <mergeCell ref="M81:M82"/>
    <mergeCell ref="M83:M84"/>
    <mergeCell ref="Q195:U195"/>
    <mergeCell ref="Q4:T4"/>
    <mergeCell ref="Q5:U5"/>
    <mergeCell ref="Q194:T194"/>
    <mergeCell ref="Q87:V87"/>
    <mergeCell ref="B55:B56"/>
    <mergeCell ref="B57:B58"/>
    <mergeCell ref="B59:B60"/>
    <mergeCell ref="A55:A56"/>
    <mergeCell ref="A57:A58"/>
    <mergeCell ref="A59:A60"/>
    <mergeCell ref="C55:C56"/>
    <mergeCell ref="C57:C58"/>
    <mergeCell ref="C59:C60"/>
    <mergeCell ref="M55:M56"/>
    <mergeCell ref="M57:M58"/>
    <mergeCell ref="M59:M60"/>
    <mergeCell ref="A79:A80"/>
    <mergeCell ref="A81:A82"/>
    <mergeCell ref="A83:A84"/>
    <mergeCell ref="C79:C80"/>
    <mergeCell ref="C81:C82"/>
    <mergeCell ref="C83:C84"/>
    <mergeCell ref="B79:B80"/>
    <mergeCell ref="B81:B82"/>
    <mergeCell ref="B83:B84"/>
  </mergeCells>
  <phoneticPr fontId="56" type="noConversion"/>
  <pageMargins left="0.70866141732283472" right="0.70866141732283472" top="0.78740157480314965" bottom="0.78740157480314965" header="0.31496062992125984" footer="0.31496062992125984"/>
  <pageSetup paperSize="9" scale="30" fitToHeight="2" orientation="landscape" r:id="rId1"/>
  <rowBreaks count="1" manualBreakCount="1">
    <brk id="105" max="16383" man="1"/>
  </rowBreaks>
  <ignoredErrors>
    <ignoredError sqref="E58:E59 E56:F56 F58 I56 I58 E80:F80 E82:F82 I80 I82" formula="1"/>
  </ignoredErrors>
  <drawing r:id="rId2"/>
  <legacyDrawing r:id="rId3"/>
  <oleObjects>
    <mc:AlternateContent xmlns:mc="http://schemas.openxmlformats.org/markup-compatibility/2006">
      <mc:Choice Requires="x14">
        <oleObject progId="Equation.3" shapeId="3073" r:id="rId4">
          <objectPr defaultSize="0" autoPict="0" r:id="rId5">
            <anchor moveWithCells="1">
              <from>
                <xdr:col>7</xdr:col>
                <xdr:colOff>657225</xdr:colOff>
                <xdr:row>24</xdr:row>
                <xdr:rowOff>104775</xdr:rowOff>
              </from>
              <to>
                <xdr:col>11</xdr:col>
                <xdr:colOff>495300</xdr:colOff>
                <xdr:row>25</xdr:row>
                <xdr:rowOff>171450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from>
                <xdr:col>4</xdr:col>
                <xdr:colOff>28575</xdr:colOff>
                <xdr:row>35</xdr:row>
                <xdr:rowOff>9525</xdr:rowOff>
              </from>
              <to>
                <xdr:col>5</xdr:col>
                <xdr:colOff>676275</xdr:colOff>
                <xdr:row>35</xdr:row>
                <xdr:rowOff>190500</xdr:rowOff>
              </to>
            </anchor>
          </objectPr>
        </oleObject>
      </mc:Choice>
      <mc:Fallback>
        <oleObject progId="Equation.3" shapeId="3074" r:id="rId6"/>
      </mc:Fallback>
    </mc:AlternateContent>
    <mc:AlternateContent xmlns:mc="http://schemas.openxmlformats.org/markup-compatibility/2006">
      <mc:Choice Requires="x14">
        <oleObject progId="Equation.3" shapeId="3075" r:id="rId8">
          <objectPr defaultSize="0" autoPict="0" r:id="rId9">
            <anchor moveWithCells="1">
              <from>
                <xdr:col>4</xdr:col>
                <xdr:colOff>19050</xdr:colOff>
                <xdr:row>33</xdr:row>
                <xdr:rowOff>95250</xdr:rowOff>
              </from>
              <to>
                <xdr:col>5</xdr:col>
                <xdr:colOff>638175</xdr:colOff>
                <xdr:row>34</xdr:row>
                <xdr:rowOff>161925</xdr:rowOff>
              </to>
            </anchor>
          </objectPr>
        </oleObject>
      </mc:Choice>
      <mc:Fallback>
        <oleObject progId="Equation.3" shapeId="3075" r:id="rId8"/>
      </mc:Fallback>
    </mc:AlternateContent>
    <mc:AlternateContent xmlns:mc="http://schemas.openxmlformats.org/markup-compatibility/2006">
      <mc:Choice Requires="x14">
        <oleObject progId="Equation.3" shapeId="3076" r:id="rId10">
          <objectPr defaultSize="0" autoPict="0" r:id="rId9">
            <anchor moveWithCells="1">
              <from>
                <xdr:col>4</xdr:col>
                <xdr:colOff>28575</xdr:colOff>
                <xdr:row>111</xdr:row>
                <xdr:rowOff>123825</xdr:rowOff>
              </from>
              <to>
                <xdr:col>5</xdr:col>
                <xdr:colOff>647700</xdr:colOff>
                <xdr:row>113</xdr:row>
                <xdr:rowOff>0</xdr:rowOff>
              </to>
            </anchor>
          </objectPr>
        </oleObject>
      </mc:Choice>
      <mc:Fallback>
        <oleObject progId="Equation.3" shapeId="3076" r:id="rId10"/>
      </mc:Fallback>
    </mc:AlternateContent>
    <mc:AlternateContent xmlns:mc="http://schemas.openxmlformats.org/markup-compatibility/2006">
      <mc:Choice Requires="x14">
        <oleObject progId="Equation.3" shapeId="3077" r:id="rId11">
          <objectPr defaultSize="0" autoPict="0" r:id="rId7">
            <anchor moveWithCells="1">
              <from>
                <xdr:col>4</xdr:col>
                <xdr:colOff>28575</xdr:colOff>
                <xdr:row>113</xdr:row>
                <xdr:rowOff>28575</xdr:rowOff>
              </from>
              <to>
                <xdr:col>5</xdr:col>
                <xdr:colOff>676275</xdr:colOff>
                <xdr:row>114</xdr:row>
                <xdr:rowOff>0</xdr:rowOff>
              </to>
            </anchor>
          </objectPr>
        </oleObject>
      </mc:Choice>
      <mc:Fallback>
        <oleObject progId="Equation.3" shapeId="3077" r:id="rId1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M562"/>
  <sheetViews>
    <sheetView showGridLines="0" showRowColHeaders="0" workbookViewId="0">
      <selection activeCell="C321" sqref="C321"/>
    </sheetView>
  </sheetViews>
  <sheetFormatPr baseColWidth="10" defaultRowHeight="15"/>
  <cols>
    <col min="1" max="1" width="26.140625" customWidth="1"/>
    <col min="7" max="7" width="13.28515625" customWidth="1"/>
    <col min="8" max="8" width="12.42578125" customWidth="1"/>
    <col min="14" max="14" width="13.85546875" customWidth="1"/>
    <col min="15" max="15" width="24" customWidth="1"/>
    <col min="16" max="16" width="13.42578125" style="2" customWidth="1"/>
    <col min="17" max="17" width="14.140625" style="2" customWidth="1"/>
    <col min="18" max="19" width="11.42578125" style="2" customWidth="1"/>
    <col min="21" max="21" width="12" customWidth="1"/>
    <col min="22" max="22" width="12.5703125" customWidth="1"/>
    <col min="23" max="23" width="18.85546875" customWidth="1"/>
    <col min="25" max="28" width="13" customWidth="1"/>
    <col min="31" max="31" width="12.85546875" bestFit="1" customWidth="1"/>
    <col min="36" max="37" width="17" customWidth="1"/>
    <col min="39" max="42" width="13.5703125" customWidth="1"/>
    <col min="45" max="45" width="12.85546875" bestFit="1" customWidth="1"/>
  </cols>
  <sheetData>
    <row r="1" spans="1:23" ht="26.25">
      <c r="A1" s="1" t="s">
        <v>315</v>
      </c>
    </row>
    <row r="3" spans="1:23" ht="18">
      <c r="A3" s="3" t="s">
        <v>2</v>
      </c>
      <c r="B3" s="4" t="s">
        <v>3</v>
      </c>
      <c r="C3" s="4" t="s">
        <v>4</v>
      </c>
      <c r="D3" s="4" t="s">
        <v>5</v>
      </c>
      <c r="E3" s="4" t="s">
        <v>6</v>
      </c>
      <c r="F3" s="4" t="s">
        <v>7</v>
      </c>
      <c r="G3" s="4" t="s">
        <v>8</v>
      </c>
      <c r="H3" s="4" t="s">
        <v>9</v>
      </c>
      <c r="I3" s="4" t="s">
        <v>10</v>
      </c>
      <c r="J3" s="4" t="s">
        <v>11</v>
      </c>
      <c r="K3" s="4" t="s">
        <v>316</v>
      </c>
      <c r="L3" s="5" t="s">
        <v>13</v>
      </c>
      <c r="M3" s="229"/>
      <c r="O3" s="3" t="s">
        <v>2</v>
      </c>
      <c r="P3" s="664" t="s">
        <v>14</v>
      </c>
      <c r="Q3" s="665"/>
      <c r="R3" s="665"/>
      <c r="S3" s="665"/>
      <c r="T3" s="666"/>
      <c r="V3" s="3" t="s">
        <v>15</v>
      </c>
      <c r="W3" s="3" t="s">
        <v>16</v>
      </c>
    </row>
    <row r="4" spans="1:23">
      <c r="A4" s="7" t="s">
        <v>317</v>
      </c>
      <c r="B4" s="8" t="s">
        <v>17</v>
      </c>
      <c r="C4" s="8" t="s">
        <v>18</v>
      </c>
      <c r="D4" s="8" t="s">
        <v>18</v>
      </c>
      <c r="E4" s="8" t="s">
        <v>19</v>
      </c>
      <c r="F4" s="8" t="s">
        <v>18</v>
      </c>
      <c r="G4" s="8" t="s">
        <v>18</v>
      </c>
      <c r="H4" s="8" t="s">
        <v>18</v>
      </c>
      <c r="I4" s="8" t="s">
        <v>17</v>
      </c>
      <c r="J4" s="8" t="s">
        <v>17</v>
      </c>
      <c r="K4" s="8" t="s">
        <v>17</v>
      </c>
      <c r="L4" s="9" t="s">
        <v>17</v>
      </c>
      <c r="M4" s="229"/>
      <c r="O4" s="7" t="s">
        <v>317</v>
      </c>
      <c r="P4" s="10">
        <v>0.6</v>
      </c>
      <c r="Q4" s="10">
        <v>0.7</v>
      </c>
      <c r="R4" s="10">
        <v>0.8</v>
      </c>
      <c r="S4" s="10">
        <v>0.9</v>
      </c>
      <c r="T4" s="10">
        <v>1</v>
      </c>
      <c r="V4" s="7" t="s">
        <v>20</v>
      </c>
      <c r="W4" s="7" t="s">
        <v>21</v>
      </c>
    </row>
    <row r="5" spans="1:23" ht="45">
      <c r="A5" s="62" t="s">
        <v>882</v>
      </c>
      <c r="B5" s="212">
        <f>IF(AND($B$35=$V$16,$B$37=3),0,4.7)</f>
        <v>4.7</v>
      </c>
      <c r="C5" s="57"/>
      <c r="D5" s="57"/>
      <c r="E5" s="57">
        <v>4</v>
      </c>
      <c r="F5" s="57">
        <f>50-10</f>
        <v>40</v>
      </c>
      <c r="G5" s="57">
        <f>80-10</f>
        <v>70</v>
      </c>
      <c r="H5" s="57">
        <v>5</v>
      </c>
      <c r="I5" s="248">
        <f t="shared" ref="I5:I33" si="0">(0.52*SQRT(H5)*(F5)^0.9*$B$36^0.8)/1000</f>
        <v>3.7645313796964266</v>
      </c>
      <c r="J5" s="123">
        <f>($J$34*0.52*SQRT(H5)*G5^0.9*$B$36^0.8)/1000</f>
        <v>1.8688154683555778</v>
      </c>
      <c r="K5" s="284">
        <v>5.9</v>
      </c>
      <c r="L5" s="285">
        <f t="shared" ref="L5:L33" si="1">E5*MIN(B5,I5,J5)</f>
        <v>7.4752618734223111</v>
      </c>
      <c r="M5" s="229"/>
      <c r="O5" s="62" t="s">
        <v>882</v>
      </c>
      <c r="P5" s="215">
        <f t="shared" ref="P5:T14" si="2">$E5*MIN($B5/$B$34,$I5*P$4/$L$34,$J5*P$4/$L$34,$K5/$K$34)</f>
        <v>3.450120864656451</v>
      </c>
      <c r="Q5" s="215">
        <f t="shared" si="2"/>
        <v>4.0251410087658597</v>
      </c>
      <c r="R5" s="215">
        <f t="shared" si="2"/>
        <v>4.6001611528752688</v>
      </c>
      <c r="S5" s="215">
        <f t="shared" si="2"/>
        <v>5.1751812969846762</v>
      </c>
      <c r="T5" s="215">
        <f t="shared" si="2"/>
        <v>5.7502014410940854</v>
      </c>
      <c r="V5" s="7" t="str">
        <f>'RICON_RICON-S-EK_GIGANT_WALCO '!V7</f>
        <v>C24</v>
      </c>
      <c r="W5" s="7">
        <f>'RICON_RICON-S-EK_GIGANT_WALCO '!W7</f>
        <v>350</v>
      </c>
    </row>
    <row r="6" spans="1:23" ht="45">
      <c r="A6" s="62" t="s">
        <v>358</v>
      </c>
      <c r="B6" s="212">
        <f>IF(AND($B$35=$V$16,$B$37=3),0,4.4)</f>
        <v>4.4000000000000004</v>
      </c>
      <c r="C6" s="57">
        <v>34</v>
      </c>
      <c r="D6" s="57">
        <f t="shared" ref="D6:D16" si="3">C6/2</f>
        <v>17</v>
      </c>
      <c r="E6" s="57">
        <v>2</v>
      </c>
      <c r="F6" s="57">
        <v>35</v>
      </c>
      <c r="G6" s="57">
        <v>65</v>
      </c>
      <c r="H6" s="57">
        <v>8</v>
      </c>
      <c r="I6" s="248">
        <f t="shared" si="0"/>
        <v>4.2225826668958426</v>
      </c>
      <c r="J6" s="123">
        <f t="shared" ref="J6:J33" si="4">($J$34*0.52*SQRT(H6)*G6^0.9*$B$36^0.8)/1000</f>
        <v>2.2113638026311735</v>
      </c>
      <c r="K6" s="284">
        <v>15.1</v>
      </c>
      <c r="L6" s="285">
        <f t="shared" si="1"/>
        <v>4.422727605262347</v>
      </c>
      <c r="M6" s="104"/>
      <c r="O6" s="62" t="s">
        <v>358</v>
      </c>
      <c r="P6" s="215">
        <f t="shared" si="2"/>
        <v>2.0412588947364676</v>
      </c>
      <c r="Q6" s="215">
        <f t="shared" si="2"/>
        <v>2.3814687105258789</v>
      </c>
      <c r="R6" s="215">
        <f t="shared" si="2"/>
        <v>2.7216785263152903</v>
      </c>
      <c r="S6" s="215">
        <f t="shared" si="2"/>
        <v>3.0618883421047021</v>
      </c>
      <c r="T6" s="215">
        <f t="shared" si="2"/>
        <v>3.402098157894113</v>
      </c>
      <c r="V6" s="7" t="str">
        <f>'RICON_RICON-S-EK_GIGANT_WALCO '!V8</f>
        <v>C30</v>
      </c>
      <c r="W6" s="7">
        <f>'RICON_RICON-S-EK_GIGANT_WALCO '!W8</f>
        <v>380</v>
      </c>
    </row>
    <row r="7" spans="1:23" ht="45">
      <c r="A7" s="62" t="s">
        <v>359</v>
      </c>
      <c r="B7" s="212">
        <f t="shared" ref="B7:B16" si="5">IF(AND($B$35=$V$16,$B$37=3),0,4.4)</f>
        <v>4.4000000000000004</v>
      </c>
      <c r="C7" s="57">
        <v>54</v>
      </c>
      <c r="D7" s="57">
        <f t="shared" si="3"/>
        <v>27</v>
      </c>
      <c r="E7" s="57">
        <v>2</v>
      </c>
      <c r="F7" s="57">
        <v>35</v>
      </c>
      <c r="G7" s="57">
        <v>65</v>
      </c>
      <c r="H7" s="57">
        <v>8</v>
      </c>
      <c r="I7" s="248">
        <f t="shared" si="0"/>
        <v>4.2225826668958426</v>
      </c>
      <c r="J7" s="123">
        <f t="shared" si="4"/>
        <v>2.2113638026311735</v>
      </c>
      <c r="K7" s="123">
        <f>$K$6</f>
        <v>15.1</v>
      </c>
      <c r="L7" s="285">
        <f t="shared" si="1"/>
        <v>4.422727605262347</v>
      </c>
      <c r="M7" s="104"/>
      <c r="N7" s="17"/>
      <c r="O7" s="62" t="s">
        <v>359</v>
      </c>
      <c r="P7" s="215">
        <f t="shared" si="2"/>
        <v>2.0412588947364676</v>
      </c>
      <c r="Q7" s="215">
        <f t="shared" si="2"/>
        <v>2.3814687105258789</v>
      </c>
      <c r="R7" s="215">
        <f t="shared" si="2"/>
        <v>2.7216785263152903</v>
      </c>
      <c r="S7" s="215">
        <f t="shared" si="2"/>
        <v>3.0618883421047021</v>
      </c>
      <c r="T7" s="215">
        <f t="shared" si="2"/>
        <v>3.402098157894113</v>
      </c>
      <c r="V7" s="7" t="str">
        <f>'RICON_RICON-S-EK_GIGANT_WALCO '!V9</f>
        <v>GL24c</v>
      </c>
      <c r="W7" s="7">
        <f>'RICON_RICON-S-EK_GIGANT_WALCO '!W9</f>
        <v>365</v>
      </c>
    </row>
    <row r="8" spans="1:23" ht="45">
      <c r="A8" s="62" t="s">
        <v>360</v>
      </c>
      <c r="B8" s="212">
        <f t="shared" si="5"/>
        <v>4.4000000000000004</v>
      </c>
      <c r="C8" s="57">
        <v>74</v>
      </c>
      <c r="D8" s="57">
        <f t="shared" si="3"/>
        <v>37</v>
      </c>
      <c r="E8" s="57">
        <v>2</v>
      </c>
      <c r="F8" s="57">
        <v>35</v>
      </c>
      <c r="G8" s="57">
        <v>65</v>
      </c>
      <c r="H8" s="57">
        <v>8</v>
      </c>
      <c r="I8" s="248">
        <f t="shared" si="0"/>
        <v>4.2225826668958426</v>
      </c>
      <c r="J8" s="123">
        <f t="shared" si="4"/>
        <v>2.2113638026311735</v>
      </c>
      <c r="K8" s="123">
        <f t="shared" ref="K8:K31" si="6">$K$6</f>
        <v>15.1</v>
      </c>
      <c r="L8" s="285">
        <f t="shared" si="1"/>
        <v>4.422727605262347</v>
      </c>
      <c r="M8" s="104"/>
      <c r="O8" s="62" t="s">
        <v>360</v>
      </c>
      <c r="P8" s="215">
        <f t="shared" si="2"/>
        <v>2.0412588947364676</v>
      </c>
      <c r="Q8" s="215">
        <f t="shared" si="2"/>
        <v>2.3814687105258789</v>
      </c>
      <c r="R8" s="215">
        <f t="shared" si="2"/>
        <v>2.7216785263152903</v>
      </c>
      <c r="S8" s="215">
        <f t="shared" si="2"/>
        <v>3.0618883421047021</v>
      </c>
      <c r="T8" s="215">
        <f t="shared" si="2"/>
        <v>3.402098157894113</v>
      </c>
      <c r="V8" s="7" t="str">
        <f>'RICON_RICON-S-EK_GIGANT_WALCO '!V10</f>
        <v>GL24h</v>
      </c>
      <c r="W8" s="7">
        <f>'RICON_RICON-S-EK_GIGANT_WALCO '!W10</f>
        <v>385</v>
      </c>
    </row>
    <row r="9" spans="1:23" ht="45">
      <c r="A9" s="62" t="s">
        <v>361</v>
      </c>
      <c r="B9" s="212">
        <f t="shared" si="5"/>
        <v>4.4000000000000004</v>
      </c>
      <c r="C9" s="57">
        <v>94</v>
      </c>
      <c r="D9" s="57">
        <f t="shared" si="3"/>
        <v>47</v>
      </c>
      <c r="E9" s="57">
        <v>2</v>
      </c>
      <c r="F9" s="57">
        <v>35</v>
      </c>
      <c r="G9" s="57">
        <v>65</v>
      </c>
      <c r="H9" s="57">
        <v>8</v>
      </c>
      <c r="I9" s="248">
        <f t="shared" si="0"/>
        <v>4.2225826668958426</v>
      </c>
      <c r="J9" s="123">
        <f t="shared" si="4"/>
        <v>2.2113638026311735</v>
      </c>
      <c r="K9" s="123">
        <f t="shared" si="6"/>
        <v>15.1</v>
      </c>
      <c r="L9" s="285">
        <f t="shared" si="1"/>
        <v>4.422727605262347</v>
      </c>
      <c r="M9" s="104"/>
      <c r="O9" s="62" t="s">
        <v>361</v>
      </c>
      <c r="P9" s="215">
        <f t="shared" si="2"/>
        <v>2.0412588947364676</v>
      </c>
      <c r="Q9" s="215">
        <f t="shared" si="2"/>
        <v>2.3814687105258789</v>
      </c>
      <c r="R9" s="215">
        <f t="shared" si="2"/>
        <v>2.7216785263152903</v>
      </c>
      <c r="S9" s="215">
        <f t="shared" si="2"/>
        <v>3.0618883421047021</v>
      </c>
      <c r="T9" s="215">
        <f t="shared" si="2"/>
        <v>3.402098157894113</v>
      </c>
      <c r="V9" s="7" t="str">
        <f>'RICON_RICON-S-EK_GIGANT_WALCO '!V11</f>
        <v>GL28c</v>
      </c>
      <c r="W9" s="7">
        <f>'RICON_RICON-S-EK_GIGANT_WALCO '!W11</f>
        <v>390</v>
      </c>
    </row>
    <row r="10" spans="1:23" ht="45">
      <c r="A10" s="62" t="s">
        <v>362</v>
      </c>
      <c r="B10" s="212">
        <f t="shared" si="5"/>
        <v>4.4000000000000004</v>
      </c>
      <c r="C10" s="57">
        <v>114</v>
      </c>
      <c r="D10" s="57">
        <f t="shared" si="3"/>
        <v>57</v>
      </c>
      <c r="E10" s="57">
        <v>2</v>
      </c>
      <c r="F10" s="57">
        <v>35</v>
      </c>
      <c r="G10" s="57">
        <v>65</v>
      </c>
      <c r="H10" s="57">
        <v>8</v>
      </c>
      <c r="I10" s="248">
        <f t="shared" si="0"/>
        <v>4.2225826668958426</v>
      </c>
      <c r="J10" s="123">
        <f t="shared" si="4"/>
        <v>2.2113638026311735</v>
      </c>
      <c r="K10" s="123">
        <f t="shared" si="6"/>
        <v>15.1</v>
      </c>
      <c r="L10" s="285">
        <f t="shared" si="1"/>
        <v>4.422727605262347</v>
      </c>
      <c r="M10" s="104"/>
      <c r="O10" s="62" t="s">
        <v>362</v>
      </c>
      <c r="P10" s="215">
        <f t="shared" si="2"/>
        <v>2.0412588947364676</v>
      </c>
      <c r="Q10" s="215">
        <f t="shared" si="2"/>
        <v>2.3814687105258789</v>
      </c>
      <c r="R10" s="215">
        <f t="shared" si="2"/>
        <v>2.7216785263152903</v>
      </c>
      <c r="S10" s="215">
        <f t="shared" si="2"/>
        <v>3.0618883421047021</v>
      </c>
      <c r="T10" s="215">
        <f t="shared" si="2"/>
        <v>3.402098157894113</v>
      </c>
      <c r="V10" s="7" t="str">
        <f>'RICON_RICON-S-EK_GIGANT_WALCO '!V12</f>
        <v>GL28h</v>
      </c>
      <c r="W10" s="7">
        <f>'RICON_RICON-S-EK_GIGANT_WALCO '!W12</f>
        <v>425</v>
      </c>
    </row>
    <row r="11" spans="1:23" ht="45">
      <c r="A11" s="62" t="s">
        <v>363</v>
      </c>
      <c r="B11" s="212">
        <f t="shared" si="5"/>
        <v>4.4000000000000004</v>
      </c>
      <c r="C11" s="57">
        <v>134</v>
      </c>
      <c r="D11" s="57">
        <f t="shared" si="3"/>
        <v>67</v>
      </c>
      <c r="E11" s="57">
        <v>2</v>
      </c>
      <c r="F11" s="57">
        <v>35</v>
      </c>
      <c r="G11" s="57">
        <v>65</v>
      </c>
      <c r="H11" s="57">
        <v>8</v>
      </c>
      <c r="I11" s="248">
        <f t="shared" si="0"/>
        <v>4.2225826668958426</v>
      </c>
      <c r="J11" s="123">
        <f t="shared" si="4"/>
        <v>2.2113638026311735</v>
      </c>
      <c r="K11" s="123">
        <f t="shared" si="6"/>
        <v>15.1</v>
      </c>
      <c r="L11" s="285">
        <f t="shared" si="1"/>
        <v>4.422727605262347</v>
      </c>
      <c r="M11" s="104"/>
      <c r="O11" s="62" t="s">
        <v>363</v>
      </c>
      <c r="P11" s="215">
        <f t="shared" si="2"/>
        <v>2.0412588947364676</v>
      </c>
      <c r="Q11" s="215">
        <f t="shared" si="2"/>
        <v>2.3814687105258789</v>
      </c>
      <c r="R11" s="215">
        <f t="shared" si="2"/>
        <v>2.7216785263152903</v>
      </c>
      <c r="S11" s="215">
        <f t="shared" si="2"/>
        <v>3.0618883421047021</v>
      </c>
      <c r="T11" s="215">
        <f t="shared" si="2"/>
        <v>3.402098157894113</v>
      </c>
      <c r="V11" s="7" t="str">
        <f>'RICON_RICON-S-EK_GIGANT_WALCO '!V13</f>
        <v>GL30c</v>
      </c>
      <c r="W11" s="7">
        <f>'RICON_RICON-S-EK_GIGANT_WALCO '!W13</f>
        <v>390</v>
      </c>
    </row>
    <row r="12" spans="1:23" ht="45">
      <c r="A12" s="62" t="s">
        <v>364</v>
      </c>
      <c r="B12" s="212">
        <f t="shared" si="5"/>
        <v>4.4000000000000004</v>
      </c>
      <c r="C12" s="57">
        <v>134</v>
      </c>
      <c r="D12" s="57">
        <f t="shared" si="3"/>
        <v>67</v>
      </c>
      <c r="E12" s="57">
        <f>C12/(C12-D12)</f>
        <v>2</v>
      </c>
      <c r="F12" s="57">
        <v>35</v>
      </c>
      <c r="G12" s="57">
        <v>65</v>
      </c>
      <c r="H12" s="57">
        <v>8</v>
      </c>
      <c r="I12" s="248">
        <f t="shared" si="0"/>
        <v>4.2225826668958426</v>
      </c>
      <c r="J12" s="123">
        <f t="shared" si="4"/>
        <v>2.2113638026311735</v>
      </c>
      <c r="K12" s="123">
        <f t="shared" si="6"/>
        <v>15.1</v>
      </c>
      <c r="L12" s="285">
        <f t="shared" si="1"/>
        <v>4.422727605262347</v>
      </c>
      <c r="M12" s="104"/>
      <c r="O12" s="62" t="s">
        <v>364</v>
      </c>
      <c r="P12" s="215">
        <f t="shared" si="2"/>
        <v>2.0412588947364676</v>
      </c>
      <c r="Q12" s="215">
        <f t="shared" si="2"/>
        <v>2.3814687105258789</v>
      </c>
      <c r="R12" s="215">
        <f t="shared" si="2"/>
        <v>2.7216785263152903</v>
      </c>
      <c r="S12" s="215">
        <f t="shared" si="2"/>
        <v>3.0618883421047021</v>
      </c>
      <c r="T12" s="215">
        <f t="shared" si="2"/>
        <v>3.402098157894113</v>
      </c>
      <c r="V12" s="7" t="str">
        <f>'RICON_RICON-S-EK_GIGANT_WALCO '!V14</f>
        <v>GL30h</v>
      </c>
      <c r="W12" s="7">
        <f>'RICON_RICON-S-EK_GIGANT_WALCO '!W14</f>
        <v>430</v>
      </c>
    </row>
    <row r="13" spans="1:23" ht="45">
      <c r="A13" s="62" t="s">
        <v>365</v>
      </c>
      <c r="B13" s="212">
        <f t="shared" si="5"/>
        <v>4.4000000000000004</v>
      </c>
      <c r="C13" s="57">
        <v>174</v>
      </c>
      <c r="D13" s="57">
        <f t="shared" si="3"/>
        <v>87</v>
      </c>
      <c r="E13" s="57">
        <f>C13/(C13-D13)</f>
        <v>2</v>
      </c>
      <c r="F13" s="57">
        <v>35</v>
      </c>
      <c r="G13" s="57">
        <v>65</v>
      </c>
      <c r="H13" s="57">
        <v>8</v>
      </c>
      <c r="I13" s="248">
        <f t="shared" si="0"/>
        <v>4.2225826668958426</v>
      </c>
      <c r="J13" s="123">
        <f t="shared" si="4"/>
        <v>2.2113638026311735</v>
      </c>
      <c r="K13" s="123">
        <f t="shared" si="6"/>
        <v>15.1</v>
      </c>
      <c r="L13" s="285">
        <f t="shared" si="1"/>
        <v>4.422727605262347</v>
      </c>
      <c r="M13" s="104"/>
      <c r="O13" s="62" t="s">
        <v>365</v>
      </c>
      <c r="P13" s="215">
        <f t="shared" si="2"/>
        <v>2.0412588947364676</v>
      </c>
      <c r="Q13" s="215">
        <f t="shared" si="2"/>
        <v>2.3814687105258789</v>
      </c>
      <c r="R13" s="215">
        <f t="shared" si="2"/>
        <v>2.7216785263152903</v>
      </c>
      <c r="S13" s="215">
        <f t="shared" si="2"/>
        <v>3.0618883421047021</v>
      </c>
      <c r="T13" s="215">
        <f t="shared" si="2"/>
        <v>3.402098157894113</v>
      </c>
      <c r="V13" s="7" t="str">
        <f>'RICON_RICON-S-EK_GIGANT_WALCO '!V15</f>
        <v>GL32c</v>
      </c>
      <c r="W13" s="7">
        <f>'RICON_RICON-S-EK_GIGANT_WALCO '!W15</f>
        <v>400</v>
      </c>
    </row>
    <row r="14" spans="1:23" ht="45">
      <c r="A14" s="62" t="s">
        <v>366</v>
      </c>
      <c r="B14" s="212">
        <f t="shared" si="5"/>
        <v>4.4000000000000004</v>
      </c>
      <c r="C14" s="57">
        <v>214</v>
      </c>
      <c r="D14" s="57">
        <f t="shared" si="3"/>
        <v>107</v>
      </c>
      <c r="E14" s="57">
        <f>C14/(C14-D14)</f>
        <v>2</v>
      </c>
      <c r="F14" s="57">
        <v>35</v>
      </c>
      <c r="G14" s="57">
        <v>65</v>
      </c>
      <c r="H14" s="57">
        <v>8</v>
      </c>
      <c r="I14" s="248">
        <f t="shared" si="0"/>
        <v>4.2225826668958426</v>
      </c>
      <c r="J14" s="123">
        <f t="shared" si="4"/>
        <v>2.2113638026311735</v>
      </c>
      <c r="K14" s="123">
        <f t="shared" si="6"/>
        <v>15.1</v>
      </c>
      <c r="L14" s="285">
        <f t="shared" si="1"/>
        <v>4.422727605262347</v>
      </c>
      <c r="M14" s="104"/>
      <c r="O14" s="62" t="s">
        <v>366</v>
      </c>
      <c r="P14" s="215">
        <f t="shared" si="2"/>
        <v>2.0412588947364676</v>
      </c>
      <c r="Q14" s="215">
        <f t="shared" si="2"/>
        <v>2.3814687105258789</v>
      </c>
      <c r="R14" s="215">
        <f t="shared" si="2"/>
        <v>2.7216785263152903</v>
      </c>
      <c r="S14" s="215">
        <f t="shared" si="2"/>
        <v>3.0618883421047021</v>
      </c>
      <c r="T14" s="215">
        <f t="shared" si="2"/>
        <v>3.402098157894113</v>
      </c>
      <c r="V14" s="7" t="str">
        <f>'RICON_RICON-S-EK_GIGANT_WALCO '!V16</f>
        <v>GL32h</v>
      </c>
      <c r="W14" s="7">
        <f>'RICON_RICON-S-EK_GIGANT_WALCO '!W16</f>
        <v>440</v>
      </c>
    </row>
    <row r="15" spans="1:23" ht="45">
      <c r="A15" s="62" t="s">
        <v>367</v>
      </c>
      <c r="B15" s="212">
        <f t="shared" si="5"/>
        <v>4.4000000000000004</v>
      </c>
      <c r="C15" s="57">
        <v>254</v>
      </c>
      <c r="D15" s="57">
        <f t="shared" si="3"/>
        <v>127</v>
      </c>
      <c r="E15" s="57">
        <f>C15/(C15-D15)</f>
        <v>2</v>
      </c>
      <c r="F15" s="57">
        <v>35</v>
      </c>
      <c r="G15" s="57">
        <v>65</v>
      </c>
      <c r="H15" s="57">
        <v>8</v>
      </c>
      <c r="I15" s="248">
        <f t="shared" si="0"/>
        <v>4.2225826668958426</v>
      </c>
      <c r="J15" s="123">
        <f t="shared" si="4"/>
        <v>2.2113638026311735</v>
      </c>
      <c r="K15" s="123">
        <f t="shared" si="6"/>
        <v>15.1</v>
      </c>
      <c r="L15" s="285">
        <f t="shared" si="1"/>
        <v>4.422727605262347</v>
      </c>
      <c r="M15" s="104"/>
      <c r="O15" s="62" t="s">
        <v>367</v>
      </c>
      <c r="P15" s="215">
        <f t="shared" ref="P15:T24" si="7">$E15*MIN($B15/$B$34,$I15*P$4/$L$34,$J15*P$4/$L$34,$K15/$K$34)</f>
        <v>2.0412588947364676</v>
      </c>
      <c r="Q15" s="215">
        <f t="shared" si="7"/>
        <v>2.3814687105258789</v>
      </c>
      <c r="R15" s="215">
        <f t="shared" si="7"/>
        <v>2.7216785263152903</v>
      </c>
      <c r="S15" s="215">
        <f t="shared" si="7"/>
        <v>3.0618883421047021</v>
      </c>
      <c r="T15" s="215">
        <f t="shared" si="7"/>
        <v>3.402098157894113</v>
      </c>
      <c r="V15" s="7" t="str">
        <f>'RICON_RICON-S-EK_GIGANT_WALCO '!V17</f>
        <v>LH D30</v>
      </c>
      <c r="W15" s="7">
        <f>'RICON_RICON-S-EK_GIGANT_WALCO '!W17</f>
        <v>530</v>
      </c>
    </row>
    <row r="16" spans="1:23" ht="45.75" thickBot="1">
      <c r="A16" s="283" t="s">
        <v>368</v>
      </c>
      <c r="B16" s="286">
        <f t="shared" si="5"/>
        <v>4.4000000000000004</v>
      </c>
      <c r="C16" s="287">
        <v>294</v>
      </c>
      <c r="D16" s="287">
        <f t="shared" si="3"/>
        <v>147</v>
      </c>
      <c r="E16" s="287">
        <f>C16/(C16-D16)</f>
        <v>2</v>
      </c>
      <c r="F16" s="287">
        <v>35</v>
      </c>
      <c r="G16" s="287">
        <v>65</v>
      </c>
      <c r="H16" s="287">
        <v>8</v>
      </c>
      <c r="I16" s="288">
        <f t="shared" si="0"/>
        <v>4.2225826668958426</v>
      </c>
      <c r="J16" s="289">
        <f t="shared" si="4"/>
        <v>2.2113638026311735</v>
      </c>
      <c r="K16" s="289">
        <f t="shared" si="6"/>
        <v>15.1</v>
      </c>
      <c r="L16" s="290">
        <f t="shared" si="1"/>
        <v>4.422727605262347</v>
      </c>
      <c r="M16" s="104"/>
      <c r="O16" s="283" t="s">
        <v>368</v>
      </c>
      <c r="P16" s="310">
        <f t="shared" si="7"/>
        <v>2.0412588947364676</v>
      </c>
      <c r="Q16" s="310">
        <f t="shared" si="7"/>
        <v>2.3814687105258789</v>
      </c>
      <c r="R16" s="310">
        <f t="shared" si="7"/>
        <v>2.7216785263152903</v>
      </c>
      <c r="S16" s="310">
        <f t="shared" si="7"/>
        <v>3.0618883421047021</v>
      </c>
      <c r="T16" s="310">
        <f t="shared" si="7"/>
        <v>3.402098157894113</v>
      </c>
      <c r="V16" s="7" t="str">
        <f>'RICON_RICON-S-EK_GIGANT_WALCO '!V18</f>
        <v>FST D70</v>
      </c>
      <c r="W16" s="7">
        <f>'RICON_RICON-S-EK_GIGANT_WALCO '!W18</f>
        <v>590</v>
      </c>
    </row>
    <row r="17" spans="1:25" ht="45.75" thickTop="1">
      <c r="A17" s="259" t="s">
        <v>369</v>
      </c>
      <c r="B17" s="260">
        <f>IF(AND($B$35=$V$16,$B$37=3),0,4.1)</f>
        <v>4.0999999999999996</v>
      </c>
      <c r="C17" s="261">
        <v>40</v>
      </c>
      <c r="D17" s="261">
        <f>C17/2</f>
        <v>20</v>
      </c>
      <c r="E17" s="261">
        <v>2</v>
      </c>
      <c r="F17" s="261">
        <v>35</v>
      </c>
      <c r="G17" s="261">
        <v>65</v>
      </c>
      <c r="H17" s="261">
        <v>8</v>
      </c>
      <c r="I17" s="262">
        <f t="shared" si="0"/>
        <v>4.2225826668958426</v>
      </c>
      <c r="J17" s="263">
        <f t="shared" si="4"/>
        <v>2.2113638026311735</v>
      </c>
      <c r="K17" s="263">
        <f t="shared" si="6"/>
        <v>15.1</v>
      </c>
      <c r="L17" s="264">
        <f t="shared" si="1"/>
        <v>4.422727605262347</v>
      </c>
      <c r="M17" s="104"/>
      <c r="O17" s="259" t="s">
        <v>369</v>
      </c>
      <c r="P17" s="265">
        <f t="shared" si="7"/>
        <v>2.0412588947364676</v>
      </c>
      <c r="Q17" s="265">
        <f t="shared" si="7"/>
        <v>2.3814687105258789</v>
      </c>
      <c r="R17" s="265">
        <f t="shared" si="7"/>
        <v>2.7216785263152903</v>
      </c>
      <c r="S17" s="265">
        <f t="shared" si="7"/>
        <v>3.0618883421047021</v>
      </c>
      <c r="T17" s="265">
        <f t="shared" si="7"/>
        <v>3.402098157894113</v>
      </c>
      <c r="W17" t="s">
        <v>883</v>
      </c>
      <c r="X17" t="s">
        <v>640</v>
      </c>
      <c r="Y17" t="s">
        <v>884</v>
      </c>
    </row>
    <row r="18" spans="1:25" ht="45">
      <c r="A18" s="62" t="s">
        <v>370</v>
      </c>
      <c r="B18" s="212">
        <f t="shared" ref="B18:B27" si="8">IF(AND($B$35=$V$16,$B$37=3),0,4.1)</f>
        <v>4.0999999999999996</v>
      </c>
      <c r="C18" s="57">
        <v>60</v>
      </c>
      <c r="D18" s="57">
        <f t="shared" ref="D18:D27" si="9">C18/2</f>
        <v>30</v>
      </c>
      <c r="E18" s="57">
        <v>2</v>
      </c>
      <c r="F18" s="57">
        <v>35</v>
      </c>
      <c r="G18" s="57">
        <v>65</v>
      </c>
      <c r="H18" s="57">
        <v>8</v>
      </c>
      <c r="I18" s="248">
        <f t="shared" si="0"/>
        <v>4.2225826668958426</v>
      </c>
      <c r="J18" s="123">
        <f t="shared" si="4"/>
        <v>2.2113638026311735</v>
      </c>
      <c r="K18" s="123">
        <f t="shared" si="6"/>
        <v>15.1</v>
      </c>
      <c r="L18" s="285">
        <f t="shared" si="1"/>
        <v>4.422727605262347</v>
      </c>
      <c r="M18" s="104"/>
      <c r="O18" s="62" t="s">
        <v>370</v>
      </c>
      <c r="P18" s="215">
        <f t="shared" si="7"/>
        <v>2.0412588947364676</v>
      </c>
      <c r="Q18" s="215">
        <f t="shared" si="7"/>
        <v>2.3814687105258789</v>
      </c>
      <c r="R18" s="215">
        <f t="shared" si="7"/>
        <v>2.7216785263152903</v>
      </c>
      <c r="S18" s="215">
        <f t="shared" si="7"/>
        <v>3.0618883421047021</v>
      </c>
      <c r="T18" s="215">
        <f t="shared" si="7"/>
        <v>3.402098157894113</v>
      </c>
      <c r="U18" s="18"/>
      <c r="V18" s="13" t="s">
        <v>1209</v>
      </c>
      <c r="W18" s="553" t="s">
        <v>1222</v>
      </c>
      <c r="X18" s="553" t="s">
        <v>1224</v>
      </c>
      <c r="Y18" s="553" t="s">
        <v>1228</v>
      </c>
    </row>
    <row r="19" spans="1:25" ht="45">
      <c r="A19" s="62" t="s">
        <v>371</v>
      </c>
      <c r="B19" s="212">
        <f t="shared" si="8"/>
        <v>4.0999999999999996</v>
      </c>
      <c r="C19" s="57">
        <v>80</v>
      </c>
      <c r="D19" s="57">
        <f t="shared" si="9"/>
        <v>40</v>
      </c>
      <c r="E19" s="57">
        <v>2</v>
      </c>
      <c r="F19" s="57">
        <v>35</v>
      </c>
      <c r="G19" s="57">
        <v>65</v>
      </c>
      <c r="H19" s="57">
        <v>8</v>
      </c>
      <c r="I19" s="248">
        <f t="shared" si="0"/>
        <v>4.2225826668958426</v>
      </c>
      <c r="J19" s="123">
        <f t="shared" si="4"/>
        <v>2.2113638026311735</v>
      </c>
      <c r="K19" s="123">
        <f t="shared" si="6"/>
        <v>15.1</v>
      </c>
      <c r="L19" s="285">
        <f t="shared" si="1"/>
        <v>4.422727605262347</v>
      </c>
      <c r="M19" s="104"/>
      <c r="O19" s="62" t="s">
        <v>371</v>
      </c>
      <c r="P19" s="215">
        <f t="shared" si="7"/>
        <v>2.0412588947364676</v>
      </c>
      <c r="Q19" s="215">
        <f t="shared" si="7"/>
        <v>2.3814687105258789</v>
      </c>
      <c r="R19" s="215">
        <f t="shared" si="7"/>
        <v>2.7216785263152903</v>
      </c>
      <c r="S19" s="215">
        <f t="shared" si="7"/>
        <v>3.0618883421047021</v>
      </c>
      <c r="T19" s="215">
        <f t="shared" si="7"/>
        <v>3.402098157894113</v>
      </c>
      <c r="V19" s="13" t="s">
        <v>1210</v>
      </c>
      <c r="W19" s="553" t="s">
        <v>1212</v>
      </c>
      <c r="X19" s="553" t="s">
        <v>1226</v>
      </c>
      <c r="Y19" s="553" t="s">
        <v>1227</v>
      </c>
    </row>
    <row r="20" spans="1:25" ht="45">
      <c r="A20" s="62" t="s">
        <v>372</v>
      </c>
      <c r="B20" s="212">
        <f t="shared" si="8"/>
        <v>4.0999999999999996</v>
      </c>
      <c r="C20" s="57">
        <v>100</v>
      </c>
      <c r="D20" s="57">
        <f t="shared" si="9"/>
        <v>50</v>
      </c>
      <c r="E20" s="57">
        <v>2</v>
      </c>
      <c r="F20" s="57">
        <v>35</v>
      </c>
      <c r="G20" s="57">
        <v>65</v>
      </c>
      <c r="H20" s="57">
        <v>8</v>
      </c>
      <c r="I20" s="248">
        <f t="shared" si="0"/>
        <v>4.2225826668958426</v>
      </c>
      <c r="J20" s="123">
        <f t="shared" si="4"/>
        <v>2.2113638026311735</v>
      </c>
      <c r="K20" s="123">
        <f t="shared" si="6"/>
        <v>15.1</v>
      </c>
      <c r="L20" s="285">
        <f t="shared" si="1"/>
        <v>4.422727605262347</v>
      </c>
      <c r="M20" s="104"/>
      <c r="O20" s="62" t="s">
        <v>372</v>
      </c>
      <c r="P20" s="215">
        <f t="shared" si="7"/>
        <v>2.0412588947364676</v>
      </c>
      <c r="Q20" s="215">
        <f t="shared" si="7"/>
        <v>2.3814687105258789</v>
      </c>
      <c r="R20" s="215">
        <f t="shared" si="7"/>
        <v>2.7216785263152903</v>
      </c>
      <c r="S20" s="215">
        <f t="shared" si="7"/>
        <v>3.0618883421047021</v>
      </c>
      <c r="T20" s="215">
        <f t="shared" si="7"/>
        <v>3.402098157894113</v>
      </c>
      <c r="V20" s="13" t="s">
        <v>1211</v>
      </c>
      <c r="W20" s="553" t="s">
        <v>1213</v>
      </c>
      <c r="X20" s="553" t="s">
        <v>1214</v>
      </c>
      <c r="Y20" s="553" t="s">
        <v>1225</v>
      </c>
    </row>
    <row r="21" spans="1:25" ht="75">
      <c r="A21" s="62" t="s">
        <v>373</v>
      </c>
      <c r="B21" s="212">
        <f t="shared" si="8"/>
        <v>4.0999999999999996</v>
      </c>
      <c r="C21" s="57">
        <v>120</v>
      </c>
      <c r="D21" s="57">
        <f t="shared" si="9"/>
        <v>60</v>
      </c>
      <c r="E21" s="57">
        <v>2</v>
      </c>
      <c r="F21" s="57">
        <v>35</v>
      </c>
      <c r="G21" s="57">
        <v>65</v>
      </c>
      <c r="H21" s="57">
        <v>8</v>
      </c>
      <c r="I21" s="248">
        <f t="shared" si="0"/>
        <v>4.2225826668958426</v>
      </c>
      <c r="J21" s="123">
        <f t="shared" si="4"/>
        <v>2.2113638026311735</v>
      </c>
      <c r="K21" s="123">
        <f t="shared" si="6"/>
        <v>15.1</v>
      </c>
      <c r="L21" s="285">
        <f t="shared" si="1"/>
        <v>4.422727605262347</v>
      </c>
      <c r="M21" s="104"/>
      <c r="O21" s="62" t="s">
        <v>373</v>
      </c>
      <c r="P21" s="215">
        <f t="shared" si="7"/>
        <v>2.0412588947364676</v>
      </c>
      <c r="Q21" s="215">
        <f t="shared" si="7"/>
        <v>2.3814687105258789</v>
      </c>
      <c r="R21" s="215">
        <f t="shared" si="7"/>
        <v>2.7216785263152903</v>
      </c>
      <c r="S21" s="215">
        <f t="shared" si="7"/>
        <v>3.0618883421047021</v>
      </c>
      <c r="T21" s="215">
        <f t="shared" si="7"/>
        <v>3.402098157894113</v>
      </c>
      <c r="V21" s="13" t="s">
        <v>1217</v>
      </c>
      <c r="W21" s="553" t="s">
        <v>1232</v>
      </c>
      <c r="X21" s="553" t="s">
        <v>1233</v>
      </c>
      <c r="Y21" s="553" t="s">
        <v>1234</v>
      </c>
    </row>
    <row r="22" spans="1:25" ht="45">
      <c r="A22" s="62" t="s">
        <v>374</v>
      </c>
      <c r="B22" s="212">
        <f t="shared" si="8"/>
        <v>4.0999999999999996</v>
      </c>
      <c r="C22" s="57">
        <v>140</v>
      </c>
      <c r="D22" s="57">
        <f t="shared" si="9"/>
        <v>70</v>
      </c>
      <c r="E22" s="57">
        <v>2</v>
      </c>
      <c r="F22" s="57">
        <v>35</v>
      </c>
      <c r="G22" s="57">
        <v>65</v>
      </c>
      <c r="H22" s="57">
        <v>8</v>
      </c>
      <c r="I22" s="248">
        <f t="shared" si="0"/>
        <v>4.2225826668958426</v>
      </c>
      <c r="J22" s="123">
        <f t="shared" si="4"/>
        <v>2.2113638026311735</v>
      </c>
      <c r="K22" s="123">
        <f t="shared" si="6"/>
        <v>15.1</v>
      </c>
      <c r="L22" s="285">
        <f t="shared" si="1"/>
        <v>4.422727605262347</v>
      </c>
      <c r="M22" s="104"/>
      <c r="O22" s="62" t="s">
        <v>374</v>
      </c>
      <c r="P22" s="215">
        <f t="shared" si="7"/>
        <v>2.0412588947364676</v>
      </c>
      <c r="Q22" s="215">
        <f t="shared" si="7"/>
        <v>2.3814687105258789</v>
      </c>
      <c r="R22" s="215">
        <f t="shared" si="7"/>
        <v>2.7216785263152903</v>
      </c>
      <c r="S22" s="215">
        <f t="shared" si="7"/>
        <v>3.0618883421047021</v>
      </c>
      <c r="T22" s="215">
        <f t="shared" si="7"/>
        <v>3.402098157894113</v>
      </c>
      <c r="V22" s="13"/>
      <c r="W22" s="553" t="s">
        <v>1229</v>
      </c>
      <c r="X22" s="553" t="s">
        <v>1230</v>
      </c>
      <c r="Y22" s="553" t="s">
        <v>1231</v>
      </c>
    </row>
    <row r="23" spans="1:25" ht="45">
      <c r="A23" s="62" t="s">
        <v>375</v>
      </c>
      <c r="B23" s="212">
        <f t="shared" si="8"/>
        <v>4.0999999999999996</v>
      </c>
      <c r="C23" s="57">
        <v>140</v>
      </c>
      <c r="D23" s="57">
        <f t="shared" si="9"/>
        <v>70</v>
      </c>
      <c r="E23" s="57">
        <f>C23/(C23-D23)</f>
        <v>2</v>
      </c>
      <c r="F23" s="57">
        <v>35</v>
      </c>
      <c r="G23" s="57">
        <v>65</v>
      </c>
      <c r="H23" s="57">
        <v>8</v>
      </c>
      <c r="I23" s="248">
        <f t="shared" si="0"/>
        <v>4.2225826668958426</v>
      </c>
      <c r="J23" s="123">
        <f t="shared" si="4"/>
        <v>2.2113638026311735</v>
      </c>
      <c r="K23" s="123">
        <f t="shared" si="6"/>
        <v>15.1</v>
      </c>
      <c r="L23" s="285">
        <f t="shared" si="1"/>
        <v>4.422727605262347</v>
      </c>
      <c r="M23" s="104"/>
      <c r="O23" s="62" t="s">
        <v>375</v>
      </c>
      <c r="P23" s="215">
        <f t="shared" si="7"/>
        <v>2.0412588947364676</v>
      </c>
      <c r="Q23" s="215">
        <f t="shared" si="7"/>
        <v>2.3814687105258789</v>
      </c>
      <c r="R23" s="215">
        <f t="shared" si="7"/>
        <v>2.7216785263152903</v>
      </c>
      <c r="S23" s="215">
        <f t="shared" si="7"/>
        <v>3.0618883421047021</v>
      </c>
      <c r="T23" s="215">
        <f t="shared" si="7"/>
        <v>3.402098157894113</v>
      </c>
    </row>
    <row r="24" spans="1:25" ht="45">
      <c r="A24" s="62" t="s">
        <v>376</v>
      </c>
      <c r="B24" s="212">
        <f t="shared" si="8"/>
        <v>4.0999999999999996</v>
      </c>
      <c r="C24" s="57">
        <v>180</v>
      </c>
      <c r="D24" s="57">
        <f t="shared" si="9"/>
        <v>90</v>
      </c>
      <c r="E24" s="57">
        <f>C24/(C24-D24)</f>
        <v>2</v>
      </c>
      <c r="F24" s="57">
        <v>35</v>
      </c>
      <c r="G24" s="57">
        <v>65</v>
      </c>
      <c r="H24" s="57">
        <v>8</v>
      </c>
      <c r="I24" s="248">
        <f t="shared" si="0"/>
        <v>4.2225826668958426</v>
      </c>
      <c r="J24" s="123">
        <f t="shared" si="4"/>
        <v>2.2113638026311735</v>
      </c>
      <c r="K24" s="123">
        <f t="shared" si="6"/>
        <v>15.1</v>
      </c>
      <c r="L24" s="285">
        <f t="shared" si="1"/>
        <v>4.422727605262347</v>
      </c>
      <c r="M24" s="104"/>
      <c r="N24" s="231"/>
      <c r="O24" s="62" t="s">
        <v>376</v>
      </c>
      <c r="P24" s="215">
        <f t="shared" si="7"/>
        <v>2.0412588947364676</v>
      </c>
      <c r="Q24" s="215">
        <f t="shared" si="7"/>
        <v>2.3814687105258789</v>
      </c>
      <c r="R24" s="215">
        <f t="shared" si="7"/>
        <v>2.7216785263152903</v>
      </c>
      <c r="S24" s="215">
        <f t="shared" si="7"/>
        <v>3.0618883421047021</v>
      </c>
      <c r="T24" s="215">
        <f t="shared" si="7"/>
        <v>3.402098157894113</v>
      </c>
    </row>
    <row r="25" spans="1:25" ht="45">
      <c r="A25" s="62" t="s">
        <v>377</v>
      </c>
      <c r="B25" s="212">
        <f t="shared" si="8"/>
        <v>4.0999999999999996</v>
      </c>
      <c r="C25" s="57">
        <v>220</v>
      </c>
      <c r="D25" s="57">
        <f t="shared" si="9"/>
        <v>110</v>
      </c>
      <c r="E25" s="57">
        <f>C25/(C25-D25)</f>
        <v>2</v>
      </c>
      <c r="F25" s="57">
        <v>35</v>
      </c>
      <c r="G25" s="57">
        <v>65</v>
      </c>
      <c r="H25" s="57">
        <v>8</v>
      </c>
      <c r="I25" s="248">
        <f t="shared" si="0"/>
        <v>4.2225826668958426</v>
      </c>
      <c r="J25" s="123">
        <f t="shared" si="4"/>
        <v>2.2113638026311735</v>
      </c>
      <c r="K25" s="123">
        <f t="shared" si="6"/>
        <v>15.1</v>
      </c>
      <c r="L25" s="285">
        <f t="shared" si="1"/>
        <v>4.422727605262347</v>
      </c>
      <c r="M25" s="104"/>
      <c r="N25" s="231"/>
      <c r="O25" s="62" t="s">
        <v>377</v>
      </c>
      <c r="P25" s="215">
        <f t="shared" ref="P25:T33" si="10">$E25*MIN($B25/$B$34,$I25*P$4/$L$34,$J25*P$4/$L$34,$K25/$K$34)</f>
        <v>2.0412588947364676</v>
      </c>
      <c r="Q25" s="215">
        <f t="shared" si="10"/>
        <v>2.3814687105258789</v>
      </c>
      <c r="R25" s="215">
        <f t="shared" si="10"/>
        <v>2.7216785263152903</v>
      </c>
      <c r="S25" s="215">
        <f t="shared" si="10"/>
        <v>3.0618883421047021</v>
      </c>
      <c r="T25" s="215">
        <f t="shared" si="10"/>
        <v>3.402098157894113</v>
      </c>
      <c r="U25" s="18"/>
    </row>
    <row r="26" spans="1:25" ht="45">
      <c r="A26" s="62" t="s">
        <v>378</v>
      </c>
      <c r="B26" s="212">
        <f t="shared" si="8"/>
        <v>4.0999999999999996</v>
      </c>
      <c r="C26" s="261">
        <v>260</v>
      </c>
      <c r="D26" s="261">
        <f t="shared" si="9"/>
        <v>130</v>
      </c>
      <c r="E26" s="261">
        <f>C26/(C26-D26)</f>
        <v>2</v>
      </c>
      <c r="F26" s="261">
        <v>35</v>
      </c>
      <c r="G26" s="261">
        <v>65</v>
      </c>
      <c r="H26" s="261">
        <v>8</v>
      </c>
      <c r="I26" s="262">
        <f t="shared" si="0"/>
        <v>4.2225826668958426</v>
      </c>
      <c r="J26" s="123">
        <f t="shared" si="4"/>
        <v>2.2113638026311735</v>
      </c>
      <c r="K26" s="123">
        <f t="shared" si="6"/>
        <v>15.1</v>
      </c>
      <c r="L26" s="285">
        <f t="shared" si="1"/>
        <v>4.422727605262347</v>
      </c>
      <c r="M26" s="104"/>
      <c r="O26" s="62" t="s">
        <v>378</v>
      </c>
      <c r="P26" s="215">
        <f t="shared" si="10"/>
        <v>2.0412588947364676</v>
      </c>
      <c r="Q26" s="215">
        <f t="shared" si="10"/>
        <v>2.3814687105258789</v>
      </c>
      <c r="R26" s="215">
        <f t="shared" si="10"/>
        <v>2.7216785263152903</v>
      </c>
      <c r="S26" s="215">
        <f t="shared" si="10"/>
        <v>3.0618883421047021</v>
      </c>
      <c r="T26" s="215">
        <f t="shared" si="10"/>
        <v>3.402098157894113</v>
      </c>
      <c r="U26" s="18"/>
    </row>
    <row r="27" spans="1:25" ht="45.75" thickBot="1">
      <c r="A27" s="283" t="s">
        <v>379</v>
      </c>
      <c r="B27" s="286">
        <f t="shared" si="8"/>
        <v>4.0999999999999996</v>
      </c>
      <c r="C27" s="287">
        <v>300</v>
      </c>
      <c r="D27" s="287">
        <f t="shared" si="9"/>
        <v>150</v>
      </c>
      <c r="E27" s="287">
        <f>C27/(C27-D27)</f>
        <v>2</v>
      </c>
      <c r="F27" s="287">
        <v>35</v>
      </c>
      <c r="G27" s="287">
        <v>65</v>
      </c>
      <c r="H27" s="287">
        <v>8</v>
      </c>
      <c r="I27" s="288">
        <f t="shared" si="0"/>
        <v>4.2225826668958426</v>
      </c>
      <c r="J27" s="289">
        <f t="shared" si="4"/>
        <v>2.2113638026311735</v>
      </c>
      <c r="K27" s="289">
        <f t="shared" si="6"/>
        <v>15.1</v>
      </c>
      <c r="L27" s="290">
        <f t="shared" si="1"/>
        <v>4.422727605262347</v>
      </c>
      <c r="M27" s="104"/>
      <c r="O27" s="283" t="s">
        <v>379</v>
      </c>
      <c r="P27" s="310">
        <f t="shared" si="10"/>
        <v>2.0412588947364676</v>
      </c>
      <c r="Q27" s="310">
        <f t="shared" si="10"/>
        <v>2.3814687105258789</v>
      </c>
      <c r="R27" s="310">
        <f t="shared" si="10"/>
        <v>2.7216785263152903</v>
      </c>
      <c r="S27" s="310">
        <f t="shared" si="10"/>
        <v>3.0618883421047021</v>
      </c>
      <c r="T27" s="310">
        <f t="shared" si="10"/>
        <v>3.402098157894113</v>
      </c>
      <c r="U27" s="18"/>
    </row>
    <row r="28" spans="1:25" ht="45.75" thickTop="1">
      <c r="A28" s="259" t="s">
        <v>764</v>
      </c>
      <c r="B28" s="260">
        <f>IF(AND($B$35=$V$16,$B$37=3),0,2.6)</f>
        <v>2.6</v>
      </c>
      <c r="C28" s="57">
        <v>80</v>
      </c>
      <c r="D28" s="57">
        <f t="shared" ref="D28:D31" si="11">C28/2</f>
        <v>40</v>
      </c>
      <c r="E28" s="57">
        <v>2</v>
      </c>
      <c r="F28" s="57">
        <v>35</v>
      </c>
      <c r="G28" s="57">
        <v>65</v>
      </c>
      <c r="H28" s="57">
        <v>8</v>
      </c>
      <c r="I28" s="248">
        <f t="shared" si="0"/>
        <v>4.2225826668958426</v>
      </c>
      <c r="J28" s="123">
        <f t="shared" si="4"/>
        <v>2.2113638026311735</v>
      </c>
      <c r="K28" s="123">
        <f t="shared" si="6"/>
        <v>15.1</v>
      </c>
      <c r="L28" s="285">
        <f t="shared" ref="L28:L31" si="12">E28*MIN(B28,I28,J28)</f>
        <v>4.422727605262347</v>
      </c>
      <c r="M28" s="104"/>
      <c r="O28" s="259" t="s">
        <v>764</v>
      </c>
      <c r="P28" s="215">
        <f t="shared" si="10"/>
        <v>2.0412588947364676</v>
      </c>
      <c r="Q28" s="215">
        <f t="shared" si="10"/>
        <v>2.3814687105258789</v>
      </c>
      <c r="R28" s="215">
        <f t="shared" si="10"/>
        <v>2.7216785263152903</v>
      </c>
      <c r="S28" s="215">
        <f t="shared" si="10"/>
        <v>3.0618883421047021</v>
      </c>
      <c r="T28" s="215">
        <f t="shared" si="10"/>
        <v>3.402098157894113</v>
      </c>
      <c r="U28" s="18"/>
    </row>
    <row r="29" spans="1:25" ht="45">
      <c r="A29" s="62" t="s">
        <v>765</v>
      </c>
      <c r="B29" s="212">
        <f t="shared" ref="B29:B33" si="13">IF(AND($B$35=$V$16,$B$37=3),0,2.6)</f>
        <v>2.6</v>
      </c>
      <c r="C29" s="57">
        <v>100</v>
      </c>
      <c r="D29" s="57">
        <f t="shared" si="11"/>
        <v>50</v>
      </c>
      <c r="E29" s="57">
        <v>2</v>
      </c>
      <c r="F29" s="57">
        <v>35</v>
      </c>
      <c r="G29" s="57">
        <v>65</v>
      </c>
      <c r="H29" s="57">
        <v>8</v>
      </c>
      <c r="I29" s="248">
        <f t="shared" si="0"/>
        <v>4.2225826668958426</v>
      </c>
      <c r="J29" s="123">
        <f t="shared" si="4"/>
        <v>2.2113638026311735</v>
      </c>
      <c r="K29" s="123">
        <f t="shared" si="6"/>
        <v>15.1</v>
      </c>
      <c r="L29" s="285">
        <f t="shared" si="12"/>
        <v>4.422727605262347</v>
      </c>
      <c r="M29" s="104"/>
      <c r="O29" s="62" t="s">
        <v>765</v>
      </c>
      <c r="P29" s="215">
        <f t="shared" si="10"/>
        <v>2.0412588947364676</v>
      </c>
      <c r="Q29" s="215">
        <f t="shared" si="10"/>
        <v>2.3814687105258789</v>
      </c>
      <c r="R29" s="215">
        <f t="shared" si="10"/>
        <v>2.7216785263152903</v>
      </c>
      <c r="S29" s="215">
        <f t="shared" si="10"/>
        <v>3.0618883421047021</v>
      </c>
      <c r="T29" s="215">
        <f t="shared" si="10"/>
        <v>3.402098157894113</v>
      </c>
      <c r="U29" s="18"/>
    </row>
    <row r="30" spans="1:25" ht="45">
      <c r="A30" s="62" t="s">
        <v>766</v>
      </c>
      <c r="B30" s="212">
        <f t="shared" si="13"/>
        <v>2.6</v>
      </c>
      <c r="C30" s="57">
        <v>120</v>
      </c>
      <c r="D30" s="57">
        <f t="shared" si="11"/>
        <v>60</v>
      </c>
      <c r="E30" s="57">
        <v>2</v>
      </c>
      <c r="F30" s="57">
        <v>35</v>
      </c>
      <c r="G30" s="57">
        <v>65</v>
      </c>
      <c r="H30" s="57">
        <v>8</v>
      </c>
      <c r="I30" s="248">
        <f t="shared" si="0"/>
        <v>4.2225826668958426</v>
      </c>
      <c r="J30" s="123">
        <f t="shared" si="4"/>
        <v>2.2113638026311735</v>
      </c>
      <c r="K30" s="123">
        <f t="shared" si="6"/>
        <v>15.1</v>
      </c>
      <c r="L30" s="285">
        <f t="shared" si="12"/>
        <v>4.422727605262347</v>
      </c>
      <c r="M30" s="104"/>
      <c r="O30" s="62" t="s">
        <v>766</v>
      </c>
      <c r="P30" s="215">
        <f t="shared" si="10"/>
        <v>2.0412588947364676</v>
      </c>
      <c r="Q30" s="215">
        <f t="shared" si="10"/>
        <v>2.3814687105258789</v>
      </c>
      <c r="R30" s="215">
        <f t="shared" si="10"/>
        <v>2.7216785263152903</v>
      </c>
      <c r="S30" s="215">
        <f t="shared" si="10"/>
        <v>3.0618883421047021</v>
      </c>
      <c r="T30" s="215">
        <f t="shared" si="10"/>
        <v>3.402098157894113</v>
      </c>
      <c r="U30" s="18"/>
    </row>
    <row r="31" spans="1:25" ht="45.75" thickBot="1">
      <c r="A31" s="283" t="s">
        <v>767</v>
      </c>
      <c r="B31" s="286">
        <f t="shared" si="13"/>
        <v>2.6</v>
      </c>
      <c r="C31" s="287">
        <v>140</v>
      </c>
      <c r="D31" s="287">
        <f t="shared" si="11"/>
        <v>70</v>
      </c>
      <c r="E31" s="287">
        <v>2</v>
      </c>
      <c r="F31" s="287">
        <v>35</v>
      </c>
      <c r="G31" s="287">
        <v>65</v>
      </c>
      <c r="H31" s="287">
        <v>8</v>
      </c>
      <c r="I31" s="288">
        <f t="shared" si="0"/>
        <v>4.2225826668958426</v>
      </c>
      <c r="J31" s="289">
        <f t="shared" si="4"/>
        <v>2.2113638026311735</v>
      </c>
      <c r="K31" s="289">
        <f t="shared" si="6"/>
        <v>15.1</v>
      </c>
      <c r="L31" s="290">
        <f t="shared" si="12"/>
        <v>4.422727605262347</v>
      </c>
      <c r="M31" s="104"/>
      <c r="O31" s="283" t="s">
        <v>767</v>
      </c>
      <c r="P31" s="310">
        <f t="shared" si="10"/>
        <v>2.0412588947364676</v>
      </c>
      <c r="Q31" s="310">
        <f t="shared" si="10"/>
        <v>2.3814687105258789</v>
      </c>
      <c r="R31" s="310">
        <f t="shared" si="10"/>
        <v>2.7216785263152903</v>
      </c>
      <c r="S31" s="310">
        <f t="shared" si="10"/>
        <v>3.0618883421047021</v>
      </c>
      <c r="T31" s="310">
        <f t="shared" si="10"/>
        <v>3.402098157894113</v>
      </c>
      <c r="U31" s="18"/>
    </row>
    <row r="32" spans="1:25" ht="45.75" thickTop="1">
      <c r="A32" s="259" t="s">
        <v>380</v>
      </c>
      <c r="B32" s="260">
        <f t="shared" si="13"/>
        <v>2.6</v>
      </c>
      <c r="C32" s="261">
        <f>70-15</f>
        <v>55</v>
      </c>
      <c r="D32" s="261">
        <f>C32/2</f>
        <v>27.5</v>
      </c>
      <c r="E32" s="261">
        <v>2</v>
      </c>
      <c r="F32" s="261">
        <v>35</v>
      </c>
      <c r="G32" s="261">
        <v>65</v>
      </c>
      <c r="H32" s="261">
        <v>5</v>
      </c>
      <c r="I32" s="262">
        <f t="shared" si="0"/>
        <v>3.3382447089347353</v>
      </c>
      <c r="J32" s="263">
        <f t="shared" si="4"/>
        <v>1.7482365878913895</v>
      </c>
      <c r="K32" s="291">
        <v>5.9</v>
      </c>
      <c r="L32" s="264">
        <f t="shared" si="1"/>
        <v>3.4964731757827789</v>
      </c>
      <c r="M32" s="104"/>
      <c r="O32" s="259" t="s">
        <v>380</v>
      </c>
      <c r="P32" s="265">
        <f t="shared" si="10"/>
        <v>1.6137568503612825</v>
      </c>
      <c r="Q32" s="265">
        <f t="shared" si="10"/>
        <v>1.8827163254214963</v>
      </c>
      <c r="R32" s="265">
        <f t="shared" si="10"/>
        <v>2.1516758004817103</v>
      </c>
      <c r="S32" s="265">
        <f t="shared" si="10"/>
        <v>2.4206352755419238</v>
      </c>
      <c r="T32" s="265">
        <f t="shared" si="10"/>
        <v>2.6895947506021374</v>
      </c>
    </row>
    <row r="33" spans="1:32" ht="45">
      <c r="A33" s="259" t="s">
        <v>381</v>
      </c>
      <c r="B33" s="212">
        <f t="shared" si="13"/>
        <v>2.6</v>
      </c>
      <c r="C33" s="57">
        <f>66-15</f>
        <v>51</v>
      </c>
      <c r="D33" s="57">
        <f>C33/2</f>
        <v>25.5</v>
      </c>
      <c r="E33" s="57">
        <v>2</v>
      </c>
      <c r="F33" s="57">
        <v>35</v>
      </c>
      <c r="G33" s="57">
        <v>65</v>
      </c>
      <c r="H33" s="57">
        <v>5</v>
      </c>
      <c r="I33" s="248">
        <f t="shared" si="0"/>
        <v>3.3382447089347353</v>
      </c>
      <c r="J33" s="123">
        <f t="shared" si="4"/>
        <v>1.7482365878913895</v>
      </c>
      <c r="K33" s="291">
        <f>7.5*175/235</f>
        <v>5.5851063829787231</v>
      </c>
      <c r="L33" s="285">
        <f t="shared" si="1"/>
        <v>3.4964731757827789</v>
      </c>
      <c r="M33" s="104"/>
      <c r="O33" s="259" t="s">
        <v>381</v>
      </c>
      <c r="P33" s="215">
        <f t="shared" si="10"/>
        <v>1.6137568503612825</v>
      </c>
      <c r="Q33" s="215">
        <f t="shared" si="10"/>
        <v>1.8827163254214963</v>
      </c>
      <c r="R33" s="215">
        <f t="shared" si="10"/>
        <v>2.1516758004817103</v>
      </c>
      <c r="S33" s="215">
        <f t="shared" si="10"/>
        <v>2.4206352755419238</v>
      </c>
      <c r="T33" s="215">
        <f t="shared" si="10"/>
        <v>2.6895947506021374</v>
      </c>
    </row>
    <row r="34" spans="1:32">
      <c r="A34" s="232" t="s">
        <v>318</v>
      </c>
      <c r="B34" s="233">
        <v>1</v>
      </c>
      <c r="I34" s="242" t="s">
        <v>329</v>
      </c>
      <c r="J34" s="13">
        <v>0.3</v>
      </c>
      <c r="K34" s="13">
        <v>1.25</v>
      </c>
      <c r="L34" s="13">
        <v>1.3</v>
      </c>
      <c r="M34" s="311" t="s">
        <v>382</v>
      </c>
    </row>
    <row r="35" spans="1:32">
      <c r="A35" s="19" t="s">
        <v>35</v>
      </c>
      <c r="B35" s="20" t="str">
        <f>RICON!E52</f>
        <v>GL24h</v>
      </c>
      <c r="Y35" s="2"/>
      <c r="Z35" s="2"/>
    </row>
    <row r="36" spans="1:32" ht="18">
      <c r="A36" s="21" t="s">
        <v>37</v>
      </c>
      <c r="B36">
        <f>VLOOKUP(B35,V5:W16,2,FALSE)</f>
        <v>385</v>
      </c>
      <c r="C36" t="s">
        <v>38</v>
      </c>
    </row>
    <row r="37" spans="1:32">
      <c r="A37" s="21" t="s">
        <v>1239</v>
      </c>
      <c r="B37">
        <f>RICON!E53</f>
        <v>1</v>
      </c>
      <c r="W37" s="2"/>
      <c r="X37" s="2"/>
      <c r="Y37" s="2"/>
      <c r="Z37" s="2"/>
      <c r="AC37" s="2"/>
      <c r="AD37" s="2"/>
      <c r="AE37" s="2"/>
      <c r="AF37" s="2"/>
    </row>
    <row r="38" spans="1:32" ht="26.25">
      <c r="A38" s="1" t="s">
        <v>55</v>
      </c>
      <c r="W38" s="18"/>
      <c r="X38" s="18"/>
      <c r="Y38" s="18"/>
      <c r="Z38" s="18"/>
      <c r="AC38" s="18"/>
      <c r="AD38" s="18"/>
      <c r="AE38" s="18"/>
      <c r="AF38" s="18"/>
    </row>
    <row r="39" spans="1:32" ht="23.25">
      <c r="A39" s="1"/>
      <c r="W39" s="18"/>
      <c r="X39" s="18"/>
      <c r="Y39" s="18"/>
      <c r="Z39" s="18"/>
      <c r="AC39" s="18"/>
      <c r="AD39" s="18"/>
      <c r="AE39" s="18"/>
      <c r="AF39" s="18"/>
    </row>
    <row r="40" spans="1:32" ht="18.75">
      <c r="A40" s="50" t="s">
        <v>76</v>
      </c>
      <c r="B40" s="71"/>
    </row>
    <row r="42" spans="1:32">
      <c r="A42" s="19" t="s">
        <v>35</v>
      </c>
      <c r="B42" t="str">
        <f>RICON!E52</f>
        <v>GL24h</v>
      </c>
    </row>
    <row r="43" spans="1:32" ht="18">
      <c r="A43" s="21" t="s">
        <v>37</v>
      </c>
      <c r="B43">
        <f>VLOOKUP(B42,V5:W16,2,FALSE)</f>
        <v>385</v>
      </c>
      <c r="C43" t="s">
        <v>38</v>
      </c>
    </row>
    <row r="44" spans="1:32">
      <c r="A44" s="21" t="s">
        <v>1239</v>
      </c>
      <c r="B44">
        <f>RICON!E53</f>
        <v>1</v>
      </c>
    </row>
    <row r="45" spans="1:32" ht="18">
      <c r="A45" s="21" t="s">
        <v>59</v>
      </c>
      <c r="B45" s="234">
        <v>15000</v>
      </c>
      <c r="C45" s="234">
        <v>4400</v>
      </c>
      <c r="D45" t="s">
        <v>60</v>
      </c>
    </row>
    <row r="46" spans="1:32">
      <c r="A46" s="21" t="s">
        <v>61</v>
      </c>
      <c r="B46" s="49">
        <v>8</v>
      </c>
      <c r="C46" s="49">
        <v>5</v>
      </c>
      <c r="D46" t="s">
        <v>62</v>
      </c>
    </row>
    <row r="47" spans="1:32" ht="18">
      <c r="A47" s="21" t="s">
        <v>63</v>
      </c>
      <c r="B47" s="69">
        <f>0.033*$B$43*B46^-0.3</f>
        <v>6.808440920761802</v>
      </c>
      <c r="C47" s="69">
        <f>0.033*$B$43*C46^-0.3</f>
        <v>7.8394152258577217</v>
      </c>
      <c r="D47" t="s">
        <v>64</v>
      </c>
    </row>
    <row r="48" spans="1:32" ht="18">
      <c r="A48" s="21" t="s">
        <v>65</v>
      </c>
      <c r="B48" s="70">
        <f>0.082*B46^-0.3*$B$43</f>
        <v>16.917944106135387</v>
      </c>
      <c r="C48" s="70">
        <f>0.082*C46^-0.3*$B$43</f>
        <v>19.479759046070704</v>
      </c>
      <c r="D48" t="s">
        <v>64</v>
      </c>
    </row>
    <row r="49" spans="1:19">
      <c r="A49" s="21"/>
      <c r="B49" s="71"/>
      <c r="P49"/>
      <c r="Q49"/>
      <c r="R49"/>
      <c r="S49"/>
    </row>
    <row r="50" spans="1:19">
      <c r="A50" s="21"/>
      <c r="B50" s="71"/>
      <c r="P50"/>
      <c r="Q50"/>
      <c r="R50"/>
      <c r="S50"/>
    </row>
    <row r="51" spans="1:19" ht="18">
      <c r="A51" s="3" t="s">
        <v>2</v>
      </c>
      <c r="B51" s="4" t="s">
        <v>41</v>
      </c>
      <c r="C51" s="4" t="s">
        <v>9</v>
      </c>
      <c r="D51" s="4" t="s">
        <v>42</v>
      </c>
      <c r="E51" s="4" t="s">
        <v>56</v>
      </c>
      <c r="F51" s="4" t="s">
        <v>57</v>
      </c>
      <c r="G51" s="4" t="s">
        <v>41</v>
      </c>
      <c r="H51" s="4" t="s">
        <v>9</v>
      </c>
      <c r="I51" s="4" t="s">
        <v>42</v>
      </c>
      <c r="J51" s="4" t="s">
        <v>56</v>
      </c>
      <c r="K51" s="4" t="s">
        <v>57</v>
      </c>
      <c r="L51" s="4" t="s">
        <v>58</v>
      </c>
      <c r="P51"/>
      <c r="Q51"/>
      <c r="R51"/>
      <c r="S51"/>
    </row>
    <row r="52" spans="1:19">
      <c r="A52" s="7" t="s">
        <v>317</v>
      </c>
      <c r="B52" s="8" t="s">
        <v>19</v>
      </c>
      <c r="C52" s="8" t="s">
        <v>18</v>
      </c>
      <c r="D52" s="8" t="s">
        <v>18</v>
      </c>
      <c r="E52" s="8" t="s">
        <v>17</v>
      </c>
      <c r="F52" s="8" t="s">
        <v>17</v>
      </c>
      <c r="G52" s="8" t="s">
        <v>19</v>
      </c>
      <c r="H52" s="8" t="s">
        <v>18</v>
      </c>
      <c r="I52" s="8" t="s">
        <v>18</v>
      </c>
      <c r="J52" s="8" t="s">
        <v>17</v>
      </c>
      <c r="K52" s="8" t="s">
        <v>17</v>
      </c>
      <c r="L52" s="56" t="s">
        <v>17</v>
      </c>
      <c r="P52"/>
      <c r="Q52"/>
      <c r="R52"/>
      <c r="S52"/>
    </row>
    <row r="53" spans="1:19" ht="45">
      <c r="A53" s="62" t="s">
        <v>882</v>
      </c>
      <c r="B53" s="8"/>
      <c r="C53" s="8"/>
      <c r="D53" s="8"/>
      <c r="E53" s="8"/>
      <c r="F53" s="8"/>
      <c r="G53" s="213">
        <v>4</v>
      </c>
      <c r="H53" s="213">
        <v>5</v>
      </c>
      <c r="I53" s="255">
        <v>70</v>
      </c>
      <c r="J53" s="292">
        <f>(E82*0.52*SQRT(H53)*I53^0.9*B$43^0.8)/1000</f>
        <v>1.8688154683555778</v>
      </c>
      <c r="K53" s="292">
        <f>MIN(C47*I53*C46/1000,(2.3*SQRT(C45*C47*C46))/1000+(J53/4),C47*I53*C47*(SQRT(2+4*C45/(C47*I53^2*C46))-1)/1000+J53/4)</f>
        <v>1.4223746078391131</v>
      </c>
      <c r="L53" s="292">
        <f>+G53*K53</f>
        <v>5.6894984313564523</v>
      </c>
      <c r="P53"/>
      <c r="Q53"/>
      <c r="R53"/>
      <c r="S53"/>
    </row>
    <row r="54" spans="1:19" ht="45">
      <c r="A54" s="62" t="s">
        <v>358</v>
      </c>
      <c r="B54" s="213">
        <v>1</v>
      </c>
      <c r="C54" s="213">
        <v>8</v>
      </c>
      <c r="D54" s="255">
        <v>65</v>
      </c>
      <c r="E54" s="292">
        <f t="shared" ref="E54:E81" si="14">($E$82*0.52*SQRT($C54)*D54^0.9*$B$43^0.8)/1000</f>
        <v>2.2113638026311735</v>
      </c>
      <c r="F54" s="292">
        <f t="shared" ref="F54:F81" si="15">MIN($B$47*$D54*$B$46/1000,(2.3*SQRT($B$45*$B$47*$B$46))/1000+(E54/4),$B$47*$D54*$B$46*(SQRT(2+4*$B$45/($B$47*$D54^2*$B$46))-1)/1000+E54/4)</f>
        <v>2.3356804038245178</v>
      </c>
      <c r="G54" s="213">
        <v>2</v>
      </c>
      <c r="H54" s="213">
        <v>5</v>
      </c>
      <c r="I54" s="255">
        <v>70</v>
      </c>
      <c r="J54" s="292">
        <f t="shared" ref="J54:J81" si="16">($E$82*0.52*SQRT($H54)*I54^0.9*$B$43^0.8)/1000</f>
        <v>1.8688154683555778</v>
      </c>
      <c r="K54" s="292">
        <f t="shared" ref="K54:K75" si="17">MIN($C$47*$I54*$C$46/1000,(2.3*SQRT($C$45*$C$47*$C$46))/1000+(J54/4),$C$47*$I54*$C$47*(SQRT(2+4*$C$45/($C$47*$I54^2*$C$46))-1)/1000+J54/4)</f>
        <v>1.4223746078391131</v>
      </c>
      <c r="L54" s="292">
        <f>B54*F54+G54*K54</f>
        <v>5.1804296195027444</v>
      </c>
      <c r="P54"/>
      <c r="Q54"/>
      <c r="R54"/>
      <c r="S54"/>
    </row>
    <row r="55" spans="1:19" ht="45">
      <c r="A55" s="62" t="s">
        <v>359</v>
      </c>
      <c r="B55" s="213">
        <v>2</v>
      </c>
      <c r="C55" s="213">
        <v>8</v>
      </c>
      <c r="D55" s="255">
        <v>65</v>
      </c>
      <c r="E55" s="292">
        <f t="shared" si="14"/>
        <v>2.2113638026311735</v>
      </c>
      <c r="F55" s="292">
        <f t="shared" si="15"/>
        <v>2.3356804038245178</v>
      </c>
      <c r="G55" s="213">
        <v>2</v>
      </c>
      <c r="H55" s="213">
        <v>5</v>
      </c>
      <c r="I55" s="255">
        <v>70</v>
      </c>
      <c r="J55" s="292">
        <f t="shared" si="16"/>
        <v>1.8688154683555778</v>
      </c>
      <c r="K55" s="292">
        <f t="shared" si="17"/>
        <v>1.4223746078391131</v>
      </c>
      <c r="L55" s="292">
        <f t="shared" ref="L55:L64" si="18">B55*F55+G55*K55</f>
        <v>7.5161100233272613</v>
      </c>
      <c r="P55"/>
      <c r="Q55"/>
      <c r="R55"/>
      <c r="S55"/>
    </row>
    <row r="56" spans="1:19" ht="45">
      <c r="A56" s="62" t="s">
        <v>360</v>
      </c>
      <c r="B56" s="213">
        <v>2</v>
      </c>
      <c r="C56" s="213">
        <v>8</v>
      </c>
      <c r="D56" s="255">
        <v>65</v>
      </c>
      <c r="E56" s="292">
        <f t="shared" si="14"/>
        <v>2.2113638026311735</v>
      </c>
      <c r="F56" s="292">
        <f t="shared" si="15"/>
        <v>2.3356804038245178</v>
      </c>
      <c r="G56" s="213">
        <v>4</v>
      </c>
      <c r="H56" s="213">
        <v>5</v>
      </c>
      <c r="I56" s="255">
        <v>70</v>
      </c>
      <c r="J56" s="292">
        <f t="shared" si="16"/>
        <v>1.8688154683555778</v>
      </c>
      <c r="K56" s="292">
        <f t="shared" si="17"/>
        <v>1.4223746078391131</v>
      </c>
      <c r="L56" s="292">
        <f t="shared" si="18"/>
        <v>10.360859239005489</v>
      </c>
      <c r="P56"/>
      <c r="Q56"/>
      <c r="R56"/>
      <c r="S56"/>
    </row>
    <row r="57" spans="1:19" ht="45">
      <c r="A57" s="62" t="s">
        <v>361</v>
      </c>
      <c r="B57" s="213">
        <v>2</v>
      </c>
      <c r="C57" s="213">
        <v>8</v>
      </c>
      <c r="D57" s="255">
        <v>65</v>
      </c>
      <c r="E57" s="292">
        <f t="shared" si="14"/>
        <v>2.2113638026311735</v>
      </c>
      <c r="F57" s="292">
        <f t="shared" si="15"/>
        <v>2.3356804038245178</v>
      </c>
      <c r="G57" s="213">
        <v>6</v>
      </c>
      <c r="H57" s="213">
        <v>5</v>
      </c>
      <c r="I57" s="255">
        <v>70</v>
      </c>
      <c r="J57" s="292">
        <f t="shared" si="16"/>
        <v>1.8688154683555778</v>
      </c>
      <c r="K57" s="292">
        <f t="shared" si="17"/>
        <v>1.4223746078391131</v>
      </c>
      <c r="L57" s="292">
        <f t="shared" si="18"/>
        <v>13.205608454683714</v>
      </c>
      <c r="P57"/>
      <c r="Q57"/>
      <c r="R57"/>
      <c r="S57"/>
    </row>
    <row r="58" spans="1:19" ht="45">
      <c r="A58" s="62" t="s">
        <v>362</v>
      </c>
      <c r="B58" s="213">
        <v>2</v>
      </c>
      <c r="C58" s="213">
        <v>8</v>
      </c>
      <c r="D58" s="255">
        <v>65</v>
      </c>
      <c r="E58" s="292">
        <f t="shared" si="14"/>
        <v>2.2113638026311735</v>
      </c>
      <c r="F58" s="292">
        <f t="shared" si="15"/>
        <v>2.3356804038245178</v>
      </c>
      <c r="G58" s="213">
        <v>8</v>
      </c>
      <c r="H58" s="213">
        <v>5</v>
      </c>
      <c r="I58" s="255">
        <v>70</v>
      </c>
      <c r="J58" s="292">
        <f t="shared" si="16"/>
        <v>1.8688154683555778</v>
      </c>
      <c r="K58" s="292">
        <f t="shared" si="17"/>
        <v>1.4223746078391131</v>
      </c>
      <c r="L58" s="292">
        <f t="shared" si="18"/>
        <v>16.05035767036194</v>
      </c>
      <c r="P58"/>
      <c r="Q58"/>
      <c r="R58"/>
      <c r="S58"/>
    </row>
    <row r="59" spans="1:19" ht="45">
      <c r="A59" s="62" t="s">
        <v>363</v>
      </c>
      <c r="B59" s="213">
        <v>2</v>
      </c>
      <c r="C59" s="213">
        <v>8</v>
      </c>
      <c r="D59" s="255">
        <v>65</v>
      </c>
      <c r="E59" s="292">
        <f t="shared" si="14"/>
        <v>2.2113638026311735</v>
      </c>
      <c r="F59" s="292">
        <f t="shared" si="15"/>
        <v>2.3356804038245178</v>
      </c>
      <c r="G59" s="213">
        <v>10</v>
      </c>
      <c r="H59" s="213">
        <v>5</v>
      </c>
      <c r="I59" s="255">
        <v>70</v>
      </c>
      <c r="J59" s="292">
        <f t="shared" si="16"/>
        <v>1.8688154683555778</v>
      </c>
      <c r="K59" s="292">
        <f t="shared" si="17"/>
        <v>1.4223746078391131</v>
      </c>
      <c r="L59" s="292">
        <f t="shared" si="18"/>
        <v>18.895106886040168</v>
      </c>
      <c r="P59"/>
      <c r="Q59"/>
      <c r="R59"/>
      <c r="S59"/>
    </row>
    <row r="60" spans="1:19" ht="45">
      <c r="A60" s="62" t="s">
        <v>364</v>
      </c>
      <c r="B60" s="213">
        <v>3</v>
      </c>
      <c r="C60" s="213">
        <v>8</v>
      </c>
      <c r="D60" s="255">
        <v>65</v>
      </c>
      <c r="E60" s="292">
        <f t="shared" si="14"/>
        <v>2.2113638026311735</v>
      </c>
      <c r="F60" s="292">
        <f t="shared" si="15"/>
        <v>2.3356804038245178</v>
      </c>
      <c r="G60" s="213">
        <v>4</v>
      </c>
      <c r="H60" s="213">
        <v>5</v>
      </c>
      <c r="I60" s="255">
        <v>70</v>
      </c>
      <c r="J60" s="292">
        <f t="shared" si="16"/>
        <v>1.8688154683555778</v>
      </c>
      <c r="K60" s="292">
        <f t="shared" si="17"/>
        <v>1.4223746078391131</v>
      </c>
      <c r="L60" s="292">
        <f t="shared" si="18"/>
        <v>12.696539642830006</v>
      </c>
      <c r="P60"/>
      <c r="Q60"/>
      <c r="R60"/>
      <c r="S60"/>
    </row>
    <row r="61" spans="1:19" ht="45">
      <c r="A61" s="62" t="s">
        <v>365</v>
      </c>
      <c r="B61" s="213">
        <v>3</v>
      </c>
      <c r="C61" s="213">
        <v>8</v>
      </c>
      <c r="D61" s="255">
        <v>65</v>
      </c>
      <c r="E61" s="292">
        <f t="shared" si="14"/>
        <v>2.2113638026311735</v>
      </c>
      <c r="F61" s="292">
        <f t="shared" si="15"/>
        <v>2.3356804038245178</v>
      </c>
      <c r="G61" s="213">
        <v>8</v>
      </c>
      <c r="H61" s="213">
        <v>5</v>
      </c>
      <c r="I61" s="255">
        <v>70</v>
      </c>
      <c r="J61" s="292">
        <f t="shared" si="16"/>
        <v>1.8688154683555778</v>
      </c>
      <c r="K61" s="292">
        <f t="shared" si="17"/>
        <v>1.4223746078391131</v>
      </c>
      <c r="L61" s="292">
        <f t="shared" si="18"/>
        <v>18.386038074186459</v>
      </c>
      <c r="P61"/>
      <c r="Q61"/>
      <c r="R61"/>
      <c r="S61"/>
    </row>
    <row r="62" spans="1:19" ht="45">
      <c r="A62" s="62" t="s">
        <v>366</v>
      </c>
      <c r="B62" s="213">
        <v>3</v>
      </c>
      <c r="C62" s="213">
        <v>8</v>
      </c>
      <c r="D62" s="255">
        <v>65</v>
      </c>
      <c r="E62" s="292">
        <f t="shared" si="14"/>
        <v>2.2113638026311735</v>
      </c>
      <c r="F62" s="292">
        <f t="shared" si="15"/>
        <v>2.3356804038245178</v>
      </c>
      <c r="G62" s="213">
        <v>12</v>
      </c>
      <c r="H62" s="213">
        <v>5</v>
      </c>
      <c r="I62" s="255">
        <v>70</v>
      </c>
      <c r="J62" s="292">
        <f t="shared" si="16"/>
        <v>1.8688154683555778</v>
      </c>
      <c r="K62" s="292">
        <f t="shared" si="17"/>
        <v>1.4223746078391131</v>
      </c>
      <c r="L62" s="292">
        <f t="shared" si="18"/>
        <v>24.07553650554291</v>
      </c>
      <c r="P62"/>
      <c r="Q62"/>
      <c r="R62"/>
      <c r="S62"/>
    </row>
    <row r="63" spans="1:19" ht="45">
      <c r="A63" s="62" t="s">
        <v>367</v>
      </c>
      <c r="B63" s="213">
        <v>3</v>
      </c>
      <c r="C63" s="213">
        <v>8</v>
      </c>
      <c r="D63" s="255">
        <v>65</v>
      </c>
      <c r="E63" s="292">
        <f t="shared" si="14"/>
        <v>2.2113638026311735</v>
      </c>
      <c r="F63" s="292">
        <f t="shared" si="15"/>
        <v>2.3356804038245178</v>
      </c>
      <c r="G63" s="213">
        <v>16</v>
      </c>
      <c r="H63" s="213">
        <v>5</v>
      </c>
      <c r="I63" s="255">
        <v>70</v>
      </c>
      <c r="J63" s="292">
        <f t="shared" si="16"/>
        <v>1.8688154683555778</v>
      </c>
      <c r="K63" s="292">
        <f t="shared" si="17"/>
        <v>1.4223746078391131</v>
      </c>
      <c r="L63" s="292">
        <f t="shared" si="18"/>
        <v>29.765034936899362</v>
      </c>
      <c r="P63"/>
      <c r="Q63"/>
      <c r="R63"/>
      <c r="S63"/>
    </row>
    <row r="64" spans="1:19" ht="45.75" thickBot="1">
      <c r="A64" s="283" t="s">
        <v>368</v>
      </c>
      <c r="B64" s="293">
        <v>3</v>
      </c>
      <c r="C64" s="293">
        <v>8</v>
      </c>
      <c r="D64" s="294">
        <v>65</v>
      </c>
      <c r="E64" s="295">
        <f t="shared" si="14"/>
        <v>2.2113638026311735</v>
      </c>
      <c r="F64" s="295">
        <f t="shared" si="15"/>
        <v>2.3356804038245178</v>
      </c>
      <c r="G64" s="293">
        <v>20</v>
      </c>
      <c r="H64" s="293">
        <v>5</v>
      </c>
      <c r="I64" s="294">
        <v>70</v>
      </c>
      <c r="J64" s="295">
        <f t="shared" si="16"/>
        <v>1.8688154683555778</v>
      </c>
      <c r="K64" s="295">
        <f t="shared" si="17"/>
        <v>1.4223746078391131</v>
      </c>
      <c r="L64" s="295">
        <f t="shared" si="18"/>
        <v>35.454533368255817</v>
      </c>
      <c r="P64"/>
      <c r="Q64"/>
      <c r="R64"/>
      <c r="S64"/>
    </row>
    <row r="65" spans="1:19" ht="45.75" thickTop="1">
      <c r="A65" s="259" t="s">
        <v>369</v>
      </c>
      <c r="B65" s="296">
        <v>1</v>
      </c>
      <c r="C65" s="296">
        <v>8</v>
      </c>
      <c r="D65" s="297">
        <v>65</v>
      </c>
      <c r="E65" s="298">
        <f t="shared" si="14"/>
        <v>2.2113638026311735</v>
      </c>
      <c r="F65" s="298">
        <f t="shared" si="15"/>
        <v>2.3356804038245178</v>
      </c>
      <c r="G65" s="296">
        <v>2</v>
      </c>
      <c r="H65" s="296">
        <v>5</v>
      </c>
      <c r="I65" s="297">
        <v>70</v>
      </c>
      <c r="J65" s="298">
        <f t="shared" si="16"/>
        <v>1.8688154683555778</v>
      </c>
      <c r="K65" s="298">
        <f t="shared" si="17"/>
        <v>1.4223746078391131</v>
      </c>
      <c r="L65" s="298">
        <f>B65*F65+G65*K65</f>
        <v>5.1804296195027444</v>
      </c>
      <c r="P65"/>
      <c r="Q65"/>
      <c r="R65"/>
      <c r="S65"/>
    </row>
    <row r="66" spans="1:19" ht="45">
      <c r="A66" s="62" t="s">
        <v>370</v>
      </c>
      <c r="B66" s="213">
        <v>2</v>
      </c>
      <c r="C66" s="213">
        <v>8</v>
      </c>
      <c r="D66" s="255">
        <v>65</v>
      </c>
      <c r="E66" s="292">
        <f t="shared" si="14"/>
        <v>2.2113638026311735</v>
      </c>
      <c r="F66" s="292">
        <f t="shared" si="15"/>
        <v>2.3356804038245178</v>
      </c>
      <c r="G66" s="213">
        <v>2</v>
      </c>
      <c r="H66" s="213">
        <v>5</v>
      </c>
      <c r="I66" s="255">
        <v>70</v>
      </c>
      <c r="J66" s="292">
        <f t="shared" si="16"/>
        <v>1.8688154683555778</v>
      </c>
      <c r="K66" s="292">
        <f t="shared" si="17"/>
        <v>1.4223746078391131</v>
      </c>
      <c r="L66" s="292">
        <f t="shared" ref="L66:L81" si="19">B66*F66+G66*K66</f>
        <v>7.5161100233272613</v>
      </c>
      <c r="P66"/>
      <c r="Q66"/>
      <c r="R66"/>
      <c r="S66"/>
    </row>
    <row r="67" spans="1:19" ht="45">
      <c r="A67" s="62" t="s">
        <v>371</v>
      </c>
      <c r="B67" s="213">
        <v>2</v>
      </c>
      <c r="C67" s="213">
        <v>8</v>
      </c>
      <c r="D67" s="255">
        <v>65</v>
      </c>
      <c r="E67" s="292">
        <f t="shared" si="14"/>
        <v>2.2113638026311735</v>
      </c>
      <c r="F67" s="292">
        <f t="shared" si="15"/>
        <v>2.3356804038245178</v>
      </c>
      <c r="G67" s="213">
        <v>4</v>
      </c>
      <c r="H67" s="213">
        <v>5</v>
      </c>
      <c r="I67" s="255">
        <v>70</v>
      </c>
      <c r="J67" s="292">
        <f t="shared" si="16"/>
        <v>1.8688154683555778</v>
      </c>
      <c r="K67" s="292">
        <f t="shared" si="17"/>
        <v>1.4223746078391131</v>
      </c>
      <c r="L67" s="292">
        <f t="shared" si="19"/>
        <v>10.360859239005489</v>
      </c>
      <c r="P67"/>
      <c r="Q67"/>
      <c r="R67"/>
      <c r="S67"/>
    </row>
    <row r="68" spans="1:19" ht="45">
      <c r="A68" s="62" t="s">
        <v>372</v>
      </c>
      <c r="B68" s="213">
        <v>2</v>
      </c>
      <c r="C68" s="213">
        <v>8</v>
      </c>
      <c r="D68" s="255">
        <v>65</v>
      </c>
      <c r="E68" s="292">
        <f t="shared" si="14"/>
        <v>2.2113638026311735</v>
      </c>
      <c r="F68" s="292">
        <f t="shared" si="15"/>
        <v>2.3356804038245178</v>
      </c>
      <c r="G68" s="213">
        <v>6</v>
      </c>
      <c r="H68" s="213">
        <v>5</v>
      </c>
      <c r="I68" s="255">
        <v>70</v>
      </c>
      <c r="J68" s="292">
        <f t="shared" si="16"/>
        <v>1.8688154683555778</v>
      </c>
      <c r="K68" s="292">
        <f t="shared" si="17"/>
        <v>1.4223746078391131</v>
      </c>
      <c r="L68" s="292">
        <f t="shared" si="19"/>
        <v>13.205608454683714</v>
      </c>
      <c r="P68"/>
      <c r="Q68"/>
      <c r="R68"/>
      <c r="S68"/>
    </row>
    <row r="69" spans="1:19" ht="45">
      <c r="A69" s="62" t="s">
        <v>373</v>
      </c>
      <c r="B69" s="213">
        <v>2</v>
      </c>
      <c r="C69" s="213">
        <v>8</v>
      </c>
      <c r="D69" s="255">
        <v>65</v>
      </c>
      <c r="E69" s="292">
        <f t="shared" si="14"/>
        <v>2.2113638026311735</v>
      </c>
      <c r="F69" s="292">
        <f t="shared" si="15"/>
        <v>2.3356804038245178</v>
      </c>
      <c r="G69" s="213">
        <v>8</v>
      </c>
      <c r="H69" s="213">
        <v>5</v>
      </c>
      <c r="I69" s="255">
        <v>70</v>
      </c>
      <c r="J69" s="292">
        <f t="shared" si="16"/>
        <v>1.8688154683555778</v>
      </c>
      <c r="K69" s="292">
        <f t="shared" si="17"/>
        <v>1.4223746078391131</v>
      </c>
      <c r="L69" s="292">
        <f t="shared" si="19"/>
        <v>16.05035767036194</v>
      </c>
      <c r="P69"/>
      <c r="Q69"/>
      <c r="R69"/>
      <c r="S69"/>
    </row>
    <row r="70" spans="1:19" ht="45">
      <c r="A70" s="62" t="s">
        <v>374</v>
      </c>
      <c r="B70" s="213">
        <v>2</v>
      </c>
      <c r="C70" s="213">
        <v>8</v>
      </c>
      <c r="D70" s="255">
        <v>65</v>
      </c>
      <c r="E70" s="292">
        <f t="shared" si="14"/>
        <v>2.2113638026311735</v>
      </c>
      <c r="F70" s="292">
        <f t="shared" si="15"/>
        <v>2.3356804038245178</v>
      </c>
      <c r="G70" s="213">
        <v>10</v>
      </c>
      <c r="H70" s="213">
        <v>5</v>
      </c>
      <c r="I70" s="255">
        <v>70</v>
      </c>
      <c r="J70" s="292">
        <f t="shared" si="16"/>
        <v>1.8688154683555778</v>
      </c>
      <c r="K70" s="292">
        <f t="shared" si="17"/>
        <v>1.4223746078391131</v>
      </c>
      <c r="L70" s="292">
        <f t="shared" si="19"/>
        <v>18.895106886040168</v>
      </c>
      <c r="P70"/>
      <c r="Q70"/>
      <c r="R70"/>
      <c r="S70"/>
    </row>
    <row r="71" spans="1:19" ht="45">
      <c r="A71" s="62" t="s">
        <v>375</v>
      </c>
      <c r="B71" s="213">
        <v>3</v>
      </c>
      <c r="C71" s="213">
        <v>8</v>
      </c>
      <c r="D71" s="255">
        <v>65</v>
      </c>
      <c r="E71" s="292">
        <f t="shared" si="14"/>
        <v>2.2113638026311735</v>
      </c>
      <c r="F71" s="292">
        <f t="shared" si="15"/>
        <v>2.3356804038245178</v>
      </c>
      <c r="G71" s="213">
        <v>4</v>
      </c>
      <c r="H71" s="213">
        <v>5</v>
      </c>
      <c r="I71" s="255">
        <v>70</v>
      </c>
      <c r="J71" s="292">
        <f t="shared" si="16"/>
        <v>1.8688154683555778</v>
      </c>
      <c r="K71" s="292">
        <f t="shared" si="17"/>
        <v>1.4223746078391131</v>
      </c>
      <c r="L71" s="292">
        <f t="shared" si="19"/>
        <v>12.696539642830006</v>
      </c>
      <c r="P71"/>
      <c r="Q71"/>
      <c r="R71"/>
      <c r="S71"/>
    </row>
    <row r="72" spans="1:19" ht="45">
      <c r="A72" s="62" t="s">
        <v>376</v>
      </c>
      <c r="B72" s="213">
        <v>3</v>
      </c>
      <c r="C72" s="213">
        <v>8</v>
      </c>
      <c r="D72" s="255">
        <v>65</v>
      </c>
      <c r="E72" s="292">
        <f t="shared" si="14"/>
        <v>2.2113638026311735</v>
      </c>
      <c r="F72" s="292">
        <f t="shared" si="15"/>
        <v>2.3356804038245178</v>
      </c>
      <c r="G72" s="213">
        <v>8</v>
      </c>
      <c r="H72" s="213">
        <v>5</v>
      </c>
      <c r="I72" s="255">
        <v>70</v>
      </c>
      <c r="J72" s="292">
        <f t="shared" si="16"/>
        <v>1.8688154683555778</v>
      </c>
      <c r="K72" s="292">
        <f t="shared" si="17"/>
        <v>1.4223746078391131</v>
      </c>
      <c r="L72" s="292">
        <f t="shared" si="19"/>
        <v>18.386038074186459</v>
      </c>
      <c r="P72"/>
      <c r="Q72"/>
      <c r="R72"/>
      <c r="S72"/>
    </row>
    <row r="73" spans="1:19" ht="45">
      <c r="A73" s="62" t="s">
        <v>377</v>
      </c>
      <c r="B73" s="213">
        <v>3</v>
      </c>
      <c r="C73" s="213">
        <v>8</v>
      </c>
      <c r="D73" s="255">
        <v>65</v>
      </c>
      <c r="E73" s="292">
        <f t="shared" si="14"/>
        <v>2.2113638026311735</v>
      </c>
      <c r="F73" s="292">
        <f t="shared" si="15"/>
        <v>2.3356804038245178</v>
      </c>
      <c r="G73" s="213">
        <v>12</v>
      </c>
      <c r="H73" s="213">
        <v>5</v>
      </c>
      <c r="I73" s="255">
        <v>70</v>
      </c>
      <c r="J73" s="292">
        <f t="shared" si="16"/>
        <v>1.8688154683555778</v>
      </c>
      <c r="K73" s="292">
        <f t="shared" si="17"/>
        <v>1.4223746078391131</v>
      </c>
      <c r="L73" s="292">
        <f t="shared" si="19"/>
        <v>24.07553650554291</v>
      </c>
      <c r="P73"/>
      <c r="Q73"/>
      <c r="R73"/>
      <c r="S73"/>
    </row>
    <row r="74" spans="1:19" ht="45">
      <c r="A74" s="62" t="s">
        <v>378</v>
      </c>
      <c r="B74" s="213">
        <v>3</v>
      </c>
      <c r="C74" s="213">
        <v>8</v>
      </c>
      <c r="D74" s="255">
        <v>65</v>
      </c>
      <c r="E74" s="292">
        <f t="shared" si="14"/>
        <v>2.2113638026311735</v>
      </c>
      <c r="F74" s="292">
        <f t="shared" si="15"/>
        <v>2.3356804038245178</v>
      </c>
      <c r="G74" s="213">
        <v>16</v>
      </c>
      <c r="H74" s="213">
        <v>5</v>
      </c>
      <c r="I74" s="255">
        <v>70</v>
      </c>
      <c r="J74" s="292">
        <f t="shared" si="16"/>
        <v>1.8688154683555778</v>
      </c>
      <c r="K74" s="292">
        <f t="shared" si="17"/>
        <v>1.4223746078391131</v>
      </c>
      <c r="L74" s="292">
        <f t="shared" si="19"/>
        <v>29.765034936899362</v>
      </c>
      <c r="P74"/>
      <c r="Q74"/>
      <c r="R74"/>
      <c r="S74"/>
    </row>
    <row r="75" spans="1:19" ht="45.75" thickBot="1">
      <c r="A75" s="283" t="s">
        <v>379</v>
      </c>
      <c r="B75" s="293">
        <v>3</v>
      </c>
      <c r="C75" s="293">
        <v>8</v>
      </c>
      <c r="D75" s="294">
        <v>65</v>
      </c>
      <c r="E75" s="295">
        <f t="shared" si="14"/>
        <v>2.2113638026311735</v>
      </c>
      <c r="F75" s="295">
        <f t="shared" si="15"/>
        <v>2.3356804038245178</v>
      </c>
      <c r="G75" s="293">
        <v>20</v>
      </c>
      <c r="H75" s="293">
        <v>5</v>
      </c>
      <c r="I75" s="294">
        <v>70</v>
      </c>
      <c r="J75" s="295">
        <f t="shared" si="16"/>
        <v>1.8688154683555778</v>
      </c>
      <c r="K75" s="295">
        <f t="shared" si="17"/>
        <v>1.4223746078391131</v>
      </c>
      <c r="L75" s="295">
        <f t="shared" si="19"/>
        <v>35.454533368255817</v>
      </c>
      <c r="P75"/>
      <c r="Q75"/>
      <c r="R75"/>
      <c r="S75"/>
    </row>
    <row r="76" spans="1:19" ht="45.75" thickTop="1">
      <c r="A76" s="259" t="s">
        <v>764</v>
      </c>
      <c r="B76" s="213">
        <v>2</v>
      </c>
      <c r="C76" s="213">
        <v>8</v>
      </c>
      <c r="D76" s="255">
        <v>65</v>
      </c>
      <c r="E76" s="292">
        <f t="shared" si="14"/>
        <v>2.2113638026311735</v>
      </c>
      <c r="F76" s="292">
        <f t="shared" ref="F76:F79" si="20">MIN($B$47*$D76*$B$46/1000,(2.3*SQRT($B$45*$B$47*$B$46))/1000+(E76/4),$B$47*$D76*$B$46*(SQRT(2+4*$B$45/($B$47*$D76^2*$B$46))-1)/1000+E76/4)</f>
        <v>2.3356804038245178</v>
      </c>
      <c r="G76" s="213">
        <v>2</v>
      </c>
      <c r="H76" s="213">
        <v>5</v>
      </c>
      <c r="I76" s="255">
        <v>70</v>
      </c>
      <c r="J76" s="292">
        <f t="shared" si="16"/>
        <v>1.8688154683555778</v>
      </c>
      <c r="K76" s="292">
        <f t="shared" ref="K76:K79" si="21">MIN($C$47*$I76*$C$46/1000,(2.3*SQRT($C$45*$C$47*$C$46))/1000+(J76/4),$C$47*$I76*$C$47*(SQRT(2+4*$C$45/($C$47*$I76^2*$C$46))-1)/1000+J76/4)</f>
        <v>1.4223746078391131</v>
      </c>
      <c r="L76" s="292">
        <f t="shared" ref="L76:L79" si="22">B76*F76+G76*K76</f>
        <v>7.5161100233272613</v>
      </c>
      <c r="P76"/>
      <c r="Q76"/>
      <c r="R76"/>
      <c r="S76"/>
    </row>
    <row r="77" spans="1:19" ht="45">
      <c r="A77" s="62" t="s">
        <v>765</v>
      </c>
      <c r="B77" s="213">
        <v>2</v>
      </c>
      <c r="C77" s="213">
        <v>8</v>
      </c>
      <c r="D77" s="255">
        <v>65</v>
      </c>
      <c r="E77" s="292">
        <f t="shared" si="14"/>
        <v>2.2113638026311735</v>
      </c>
      <c r="F77" s="292">
        <f t="shared" si="20"/>
        <v>2.3356804038245178</v>
      </c>
      <c r="G77" s="213">
        <v>3</v>
      </c>
      <c r="H77" s="213">
        <v>5</v>
      </c>
      <c r="I77" s="255">
        <v>70</v>
      </c>
      <c r="J77" s="292">
        <f t="shared" si="16"/>
        <v>1.8688154683555778</v>
      </c>
      <c r="K77" s="292">
        <f t="shared" si="21"/>
        <v>1.4223746078391131</v>
      </c>
      <c r="L77" s="292">
        <f t="shared" si="22"/>
        <v>8.938484631166375</v>
      </c>
      <c r="P77"/>
      <c r="Q77"/>
      <c r="R77"/>
      <c r="S77"/>
    </row>
    <row r="78" spans="1:19" ht="45">
      <c r="A78" s="62" t="s">
        <v>766</v>
      </c>
      <c r="B78" s="213">
        <v>2</v>
      </c>
      <c r="C78" s="213">
        <v>8</v>
      </c>
      <c r="D78" s="255">
        <v>65</v>
      </c>
      <c r="E78" s="292">
        <f t="shared" si="14"/>
        <v>2.2113638026311735</v>
      </c>
      <c r="F78" s="292">
        <f t="shared" si="20"/>
        <v>2.3356804038245178</v>
      </c>
      <c r="G78" s="213">
        <v>3</v>
      </c>
      <c r="H78" s="213">
        <v>5</v>
      </c>
      <c r="I78" s="255">
        <v>70</v>
      </c>
      <c r="J78" s="292">
        <f t="shared" si="16"/>
        <v>1.8688154683555778</v>
      </c>
      <c r="K78" s="292">
        <f t="shared" si="21"/>
        <v>1.4223746078391131</v>
      </c>
      <c r="L78" s="292">
        <f t="shared" si="22"/>
        <v>8.938484631166375</v>
      </c>
      <c r="P78"/>
      <c r="Q78"/>
      <c r="R78"/>
      <c r="S78"/>
    </row>
    <row r="79" spans="1:19" ht="45.75" thickBot="1">
      <c r="A79" s="283" t="s">
        <v>767</v>
      </c>
      <c r="B79" s="293">
        <v>2</v>
      </c>
      <c r="C79" s="293">
        <v>8</v>
      </c>
      <c r="D79" s="294">
        <v>65</v>
      </c>
      <c r="E79" s="295">
        <f t="shared" si="14"/>
        <v>2.2113638026311735</v>
      </c>
      <c r="F79" s="295">
        <f t="shared" si="20"/>
        <v>2.3356804038245178</v>
      </c>
      <c r="G79" s="293">
        <v>4</v>
      </c>
      <c r="H79" s="293">
        <v>5</v>
      </c>
      <c r="I79" s="294">
        <v>70</v>
      </c>
      <c r="J79" s="295">
        <f t="shared" si="16"/>
        <v>1.8688154683555778</v>
      </c>
      <c r="K79" s="295">
        <f t="shared" si="21"/>
        <v>1.4223746078391131</v>
      </c>
      <c r="L79" s="295">
        <f t="shared" si="22"/>
        <v>10.360859239005489</v>
      </c>
      <c r="P79"/>
      <c r="Q79"/>
      <c r="R79"/>
      <c r="S79"/>
    </row>
    <row r="80" spans="1:19" ht="45.75" thickTop="1">
      <c r="A80" s="259" t="s">
        <v>380</v>
      </c>
      <c r="B80" s="296">
        <v>1</v>
      </c>
      <c r="C80" s="296">
        <v>5</v>
      </c>
      <c r="D80" s="297">
        <v>65</v>
      </c>
      <c r="E80" s="298">
        <f t="shared" si="14"/>
        <v>1.7482365878913895</v>
      </c>
      <c r="F80" s="298">
        <f t="shared" si="15"/>
        <v>2.2198986001395715</v>
      </c>
      <c r="G80" s="296">
        <v>2</v>
      </c>
      <c r="H80" s="296">
        <v>5</v>
      </c>
      <c r="I80" s="297">
        <v>70</v>
      </c>
      <c r="J80" s="298">
        <f t="shared" si="16"/>
        <v>1.8688154683555778</v>
      </c>
      <c r="K80" s="298">
        <f>MIN($C$47*$I80*$C$46/1000,(2.3*SQRT($C$45*$C$47*$C$46))/1000+(J80/4),$C$47*$I80*$C$47*(SQRT(2+4*$C$45/($C$47*$I80^2*$C$46))-1)/1000+J80/4)</f>
        <v>1.4223746078391131</v>
      </c>
      <c r="L80" s="298">
        <f t="shared" si="19"/>
        <v>5.0646478158177981</v>
      </c>
      <c r="P80"/>
      <c r="Q80"/>
      <c r="R80"/>
      <c r="S80"/>
    </row>
    <row r="81" spans="1:19" ht="45">
      <c r="A81" s="259" t="s">
        <v>381</v>
      </c>
      <c r="B81" s="213">
        <v>1</v>
      </c>
      <c r="C81" s="213">
        <v>5</v>
      </c>
      <c r="D81" s="255">
        <v>65</v>
      </c>
      <c r="E81" s="292">
        <f t="shared" si="14"/>
        <v>1.7482365878913895</v>
      </c>
      <c r="F81" s="292">
        <f t="shared" si="15"/>
        <v>2.2198986001395715</v>
      </c>
      <c r="G81" s="213">
        <v>2</v>
      </c>
      <c r="H81" s="213">
        <v>5</v>
      </c>
      <c r="I81" s="255">
        <v>70</v>
      </c>
      <c r="J81" s="292">
        <f t="shared" si="16"/>
        <v>1.8688154683555778</v>
      </c>
      <c r="K81" s="292">
        <f>MIN($C$47*$I81*$C$46/1000,(2.3*SQRT($C$45*$C$47*$C$46))/1000+(J81/4),$C$47*$I81*$C$47*(SQRT(2+4*$C$45/($C$47*$I81^2*$C$46))-1)/1000+J81/4)</f>
        <v>1.4223746078391131</v>
      </c>
      <c r="L81" s="292">
        <f t="shared" si="19"/>
        <v>5.0646478158177981</v>
      </c>
      <c r="P81"/>
      <c r="Q81"/>
      <c r="R81"/>
      <c r="S81"/>
    </row>
    <row r="82" spans="1:19">
      <c r="A82" s="83"/>
      <c r="B82" s="49"/>
      <c r="C82" s="49"/>
      <c r="D82" s="19" t="s">
        <v>294</v>
      </c>
      <c r="E82" s="234">
        <v>0.3</v>
      </c>
      <c r="F82" s="49"/>
      <c r="G82" s="49"/>
      <c r="H82" s="49"/>
      <c r="K82" s="49"/>
      <c r="L82" s="49"/>
      <c r="P82"/>
      <c r="Q82"/>
      <c r="R82"/>
      <c r="S82"/>
    </row>
    <row r="83" spans="1:19">
      <c r="B83" s="49"/>
      <c r="C83" s="49"/>
      <c r="D83" s="49"/>
      <c r="E83" s="49"/>
      <c r="F83" s="49"/>
      <c r="G83" s="49"/>
      <c r="H83" s="49"/>
      <c r="I83" s="49"/>
      <c r="J83" s="49"/>
      <c r="K83" s="49"/>
      <c r="L83" s="49"/>
      <c r="P83"/>
      <c r="Q83"/>
      <c r="R83"/>
      <c r="S83"/>
    </row>
    <row r="84" spans="1:19" ht="18">
      <c r="A84" s="3" t="s">
        <v>2</v>
      </c>
      <c r="B84" s="84" t="s">
        <v>41</v>
      </c>
      <c r="C84" s="84" t="s">
        <v>9</v>
      </c>
      <c r="D84" s="84" t="s">
        <v>77</v>
      </c>
      <c r="E84" s="84" t="s">
        <v>78</v>
      </c>
      <c r="F84" s="84" t="s">
        <v>79</v>
      </c>
      <c r="G84" s="84" t="s">
        <v>41</v>
      </c>
      <c r="H84" s="84" t="s">
        <v>9</v>
      </c>
      <c r="I84" s="84" t="s">
        <v>77</v>
      </c>
      <c r="J84" s="84" t="s">
        <v>78</v>
      </c>
      <c r="K84" s="84" t="s">
        <v>79</v>
      </c>
      <c r="L84" s="84" t="s">
        <v>80</v>
      </c>
      <c r="P84"/>
      <c r="Q84"/>
      <c r="R84"/>
      <c r="S84"/>
    </row>
    <row r="85" spans="1:19">
      <c r="A85" s="7" t="s">
        <v>319</v>
      </c>
      <c r="B85" s="85" t="s">
        <v>19</v>
      </c>
      <c r="C85" s="85" t="s">
        <v>18</v>
      </c>
      <c r="D85" s="85" t="s">
        <v>18</v>
      </c>
      <c r="E85" s="85" t="s">
        <v>17</v>
      </c>
      <c r="F85" s="85" t="s">
        <v>17</v>
      </c>
      <c r="G85" s="85" t="s">
        <v>19</v>
      </c>
      <c r="H85" s="85" t="s">
        <v>18</v>
      </c>
      <c r="I85" s="85" t="s">
        <v>18</v>
      </c>
      <c r="J85" s="85" t="s">
        <v>17</v>
      </c>
      <c r="K85" s="85" t="s">
        <v>17</v>
      </c>
      <c r="L85" s="86" t="s">
        <v>17</v>
      </c>
    </row>
    <row r="86" spans="1:19" ht="45">
      <c r="A86" s="62" t="s">
        <v>882</v>
      </c>
      <c r="B86" s="85"/>
      <c r="C86" s="85"/>
      <c r="D86" s="85"/>
      <c r="E86" s="85"/>
      <c r="F86" s="85"/>
      <c r="G86" s="213">
        <v>4</v>
      </c>
      <c r="H86" s="213">
        <v>5</v>
      </c>
      <c r="I86" s="255">
        <v>40</v>
      </c>
      <c r="J86" s="292">
        <f>(0.52*SQRT(C46)*I86^0.9*B43^0.8)/1000</f>
        <v>3.7645313796964266</v>
      </c>
      <c r="K86" s="292">
        <f>MIN(C48*C46*I86/1000,2.3*SQRT(C45*C48*C46)/1000+(J86/4),C48*C46*I86/1000*(SQRT(2+4*C45/(C48*C46*I86^2))-1)+J86/4)</f>
        <v>2.4468068992206229</v>
      </c>
      <c r="L86" s="292">
        <f>B86*F86+G86*K86</f>
        <v>9.7872275968824916</v>
      </c>
    </row>
    <row r="87" spans="1:19" ht="45">
      <c r="A87" s="62" t="s">
        <v>358</v>
      </c>
      <c r="B87" s="213">
        <v>1</v>
      </c>
      <c r="C87" s="213">
        <v>8</v>
      </c>
      <c r="D87" s="255">
        <v>35</v>
      </c>
      <c r="E87" s="292">
        <f>(0.52*SQRT($C87)*D87^0.9*$B$43^0.8)/1000</f>
        <v>4.2225826668958426</v>
      </c>
      <c r="F87" s="292">
        <f t="shared" ref="F87:F108" si="23">MIN($B$48*$B$46*D87/1000,2.3*SQRT($B$45*$B$48*$B$46)/1000+(E87/4),$B$48*$B$46*D87/1000*(SQRT(2+4*$B$45/($B$48*$B$46*D87^2))-1)+E87/4)</f>
        <v>3.5986908599833538</v>
      </c>
      <c r="G87" s="213">
        <v>2</v>
      </c>
      <c r="H87" s="213">
        <v>5</v>
      </c>
      <c r="I87" s="255">
        <v>40</v>
      </c>
      <c r="J87" s="292">
        <f t="shared" ref="J87:J114" si="24">(0.52*SQRT($C$46)*I87^0.9*$B$43^0.8)/1000</f>
        <v>3.7645313796964266</v>
      </c>
      <c r="K87" s="292">
        <f t="shared" ref="K87:K108" si="25">MIN($C$48*$C$46*I87/1000,2.3*SQRT($C$45*$C$48*$C$46)/1000+(J87/4),$C$48*$C$46*I87/1000*(SQRT(2+4*$C$45/($C$48*$C$46*I87^2))-1)+J87/4)</f>
        <v>2.4468068992206229</v>
      </c>
      <c r="L87" s="292">
        <f>B87*F87+G87*K87</f>
        <v>8.4923046584245991</v>
      </c>
    </row>
    <row r="88" spans="1:19" ht="45">
      <c r="A88" s="62" t="s">
        <v>359</v>
      </c>
      <c r="B88" s="213">
        <v>2</v>
      </c>
      <c r="C88" s="213">
        <v>8</v>
      </c>
      <c r="D88" s="255">
        <v>35</v>
      </c>
      <c r="E88" s="292">
        <f t="shared" ref="E88:E114" si="26">(0.52*SQRT($C88)*D88^0.9*$B$43^0.8)/1000</f>
        <v>4.2225826668958426</v>
      </c>
      <c r="F88" s="292">
        <f t="shared" si="23"/>
        <v>3.5986908599833538</v>
      </c>
      <c r="G88" s="213">
        <v>2</v>
      </c>
      <c r="H88" s="213">
        <v>5</v>
      </c>
      <c r="I88" s="255">
        <v>40</v>
      </c>
      <c r="J88" s="292">
        <f t="shared" si="24"/>
        <v>3.7645313796964266</v>
      </c>
      <c r="K88" s="292">
        <f t="shared" si="25"/>
        <v>2.4468068992206229</v>
      </c>
      <c r="L88" s="292">
        <f t="shared" ref="L88:L97" si="27">B88*F88+G88*K88</f>
        <v>12.090995518407954</v>
      </c>
    </row>
    <row r="89" spans="1:19" ht="45">
      <c r="A89" s="62" t="s">
        <v>360</v>
      </c>
      <c r="B89" s="213">
        <v>2</v>
      </c>
      <c r="C89" s="213">
        <v>8</v>
      </c>
      <c r="D89" s="255">
        <v>35</v>
      </c>
      <c r="E89" s="292">
        <f t="shared" si="26"/>
        <v>4.2225826668958426</v>
      </c>
      <c r="F89" s="292">
        <f t="shared" si="23"/>
        <v>3.5986908599833538</v>
      </c>
      <c r="G89" s="213">
        <v>4</v>
      </c>
      <c r="H89" s="213">
        <v>5</v>
      </c>
      <c r="I89" s="255">
        <v>40</v>
      </c>
      <c r="J89" s="292">
        <f t="shared" si="24"/>
        <v>3.7645313796964266</v>
      </c>
      <c r="K89" s="292">
        <f t="shared" si="25"/>
        <v>2.4468068992206229</v>
      </c>
      <c r="L89" s="292">
        <f t="shared" si="27"/>
        <v>16.984609316849198</v>
      </c>
    </row>
    <row r="90" spans="1:19" ht="45">
      <c r="A90" s="62" t="s">
        <v>361</v>
      </c>
      <c r="B90" s="213">
        <v>2</v>
      </c>
      <c r="C90" s="213">
        <v>8</v>
      </c>
      <c r="D90" s="255">
        <v>35</v>
      </c>
      <c r="E90" s="292">
        <f t="shared" si="26"/>
        <v>4.2225826668958426</v>
      </c>
      <c r="F90" s="292">
        <f t="shared" si="23"/>
        <v>3.5986908599833538</v>
      </c>
      <c r="G90" s="213">
        <v>6</v>
      </c>
      <c r="H90" s="213">
        <v>5</v>
      </c>
      <c r="I90" s="255">
        <v>40</v>
      </c>
      <c r="J90" s="292">
        <f t="shared" si="24"/>
        <v>3.7645313796964266</v>
      </c>
      <c r="K90" s="292">
        <f t="shared" si="25"/>
        <v>2.4468068992206229</v>
      </c>
      <c r="L90" s="292">
        <f t="shared" si="27"/>
        <v>21.878223115290446</v>
      </c>
    </row>
    <row r="91" spans="1:19" ht="45">
      <c r="A91" s="62" t="s">
        <v>362</v>
      </c>
      <c r="B91" s="213">
        <v>2</v>
      </c>
      <c r="C91" s="213">
        <v>8</v>
      </c>
      <c r="D91" s="255">
        <v>35</v>
      </c>
      <c r="E91" s="292">
        <f t="shared" si="26"/>
        <v>4.2225826668958426</v>
      </c>
      <c r="F91" s="292">
        <f t="shared" si="23"/>
        <v>3.5986908599833538</v>
      </c>
      <c r="G91" s="213">
        <v>8</v>
      </c>
      <c r="H91" s="213">
        <v>5</v>
      </c>
      <c r="I91" s="255">
        <v>40</v>
      </c>
      <c r="J91" s="292">
        <f t="shared" si="24"/>
        <v>3.7645313796964266</v>
      </c>
      <c r="K91" s="292">
        <f t="shared" si="25"/>
        <v>2.4468068992206229</v>
      </c>
      <c r="L91" s="292">
        <f t="shared" si="27"/>
        <v>26.77183691373169</v>
      </c>
      <c r="P91"/>
      <c r="Q91"/>
      <c r="R91"/>
      <c r="S91"/>
    </row>
    <row r="92" spans="1:19" ht="45">
      <c r="A92" s="62" t="s">
        <v>363</v>
      </c>
      <c r="B92" s="213">
        <v>2</v>
      </c>
      <c r="C92" s="213">
        <v>8</v>
      </c>
      <c r="D92" s="255">
        <v>35</v>
      </c>
      <c r="E92" s="292">
        <f t="shared" si="26"/>
        <v>4.2225826668958426</v>
      </c>
      <c r="F92" s="292">
        <f t="shared" si="23"/>
        <v>3.5986908599833538</v>
      </c>
      <c r="G92" s="213">
        <v>10</v>
      </c>
      <c r="H92" s="213">
        <v>5</v>
      </c>
      <c r="I92" s="255">
        <v>40</v>
      </c>
      <c r="J92" s="292">
        <f t="shared" si="24"/>
        <v>3.7645313796964266</v>
      </c>
      <c r="K92" s="292">
        <f t="shared" si="25"/>
        <v>2.4468068992206229</v>
      </c>
      <c r="L92" s="292">
        <f t="shared" si="27"/>
        <v>31.665450712172934</v>
      </c>
      <c r="P92"/>
      <c r="Q92"/>
      <c r="R92"/>
      <c r="S92"/>
    </row>
    <row r="93" spans="1:19" ht="45">
      <c r="A93" s="62" t="s">
        <v>364</v>
      </c>
      <c r="B93" s="213">
        <v>3</v>
      </c>
      <c r="C93" s="213">
        <v>8</v>
      </c>
      <c r="D93" s="255">
        <v>35</v>
      </c>
      <c r="E93" s="292">
        <f t="shared" si="26"/>
        <v>4.2225826668958426</v>
      </c>
      <c r="F93" s="292">
        <f t="shared" si="23"/>
        <v>3.5986908599833538</v>
      </c>
      <c r="G93" s="213">
        <v>4</v>
      </c>
      <c r="H93" s="213">
        <v>5</v>
      </c>
      <c r="I93" s="255">
        <v>40</v>
      </c>
      <c r="J93" s="292">
        <f t="shared" si="24"/>
        <v>3.7645313796964266</v>
      </c>
      <c r="K93" s="292">
        <f t="shared" si="25"/>
        <v>2.4468068992206229</v>
      </c>
      <c r="L93" s="292">
        <f t="shared" si="27"/>
        <v>20.583300176832552</v>
      </c>
      <c r="P93"/>
      <c r="Q93"/>
      <c r="R93"/>
      <c r="S93"/>
    </row>
    <row r="94" spans="1:19" ht="45">
      <c r="A94" s="62" t="s">
        <v>365</v>
      </c>
      <c r="B94" s="213">
        <v>3</v>
      </c>
      <c r="C94" s="213">
        <v>8</v>
      </c>
      <c r="D94" s="255">
        <v>35</v>
      </c>
      <c r="E94" s="292">
        <f t="shared" si="26"/>
        <v>4.2225826668958426</v>
      </c>
      <c r="F94" s="292">
        <f t="shared" si="23"/>
        <v>3.5986908599833538</v>
      </c>
      <c r="G94" s="213">
        <v>8</v>
      </c>
      <c r="H94" s="213">
        <v>5</v>
      </c>
      <c r="I94" s="255">
        <v>40</v>
      </c>
      <c r="J94" s="292">
        <f t="shared" si="24"/>
        <v>3.7645313796964266</v>
      </c>
      <c r="K94" s="292">
        <f t="shared" si="25"/>
        <v>2.4468068992206229</v>
      </c>
      <c r="L94" s="292">
        <f t="shared" si="27"/>
        <v>30.370527773715047</v>
      </c>
      <c r="P94"/>
      <c r="Q94"/>
      <c r="R94"/>
      <c r="S94"/>
    </row>
    <row r="95" spans="1:19" ht="45">
      <c r="A95" s="62" t="s">
        <v>366</v>
      </c>
      <c r="B95" s="213">
        <v>3</v>
      </c>
      <c r="C95" s="213">
        <v>8</v>
      </c>
      <c r="D95" s="255">
        <v>35</v>
      </c>
      <c r="E95" s="292">
        <f t="shared" si="26"/>
        <v>4.2225826668958426</v>
      </c>
      <c r="F95" s="292">
        <f t="shared" si="23"/>
        <v>3.5986908599833538</v>
      </c>
      <c r="G95" s="213">
        <v>12</v>
      </c>
      <c r="H95" s="213">
        <v>5</v>
      </c>
      <c r="I95" s="255">
        <v>40</v>
      </c>
      <c r="J95" s="292">
        <f t="shared" si="24"/>
        <v>3.7645313796964266</v>
      </c>
      <c r="K95" s="292">
        <f t="shared" si="25"/>
        <v>2.4468068992206229</v>
      </c>
      <c r="L95" s="292">
        <f t="shared" si="27"/>
        <v>40.157755370597535</v>
      </c>
      <c r="P95"/>
      <c r="Q95"/>
      <c r="R95"/>
      <c r="S95"/>
    </row>
    <row r="96" spans="1:19" ht="45">
      <c r="A96" s="62" t="s">
        <v>367</v>
      </c>
      <c r="B96" s="213">
        <v>3</v>
      </c>
      <c r="C96" s="213">
        <v>8</v>
      </c>
      <c r="D96" s="255">
        <v>35</v>
      </c>
      <c r="E96" s="292">
        <f t="shared" si="26"/>
        <v>4.2225826668958426</v>
      </c>
      <c r="F96" s="292">
        <f t="shared" si="23"/>
        <v>3.5986908599833538</v>
      </c>
      <c r="G96" s="213">
        <v>16</v>
      </c>
      <c r="H96" s="213">
        <v>5</v>
      </c>
      <c r="I96" s="255">
        <v>40</v>
      </c>
      <c r="J96" s="292">
        <f t="shared" si="24"/>
        <v>3.7645313796964266</v>
      </c>
      <c r="K96" s="292">
        <f t="shared" si="25"/>
        <v>2.4468068992206229</v>
      </c>
      <c r="L96" s="292">
        <f t="shared" si="27"/>
        <v>49.94498296748003</v>
      </c>
      <c r="P96"/>
      <c r="Q96"/>
      <c r="R96"/>
      <c r="S96"/>
    </row>
    <row r="97" spans="1:19" ht="45.75" thickBot="1">
      <c r="A97" s="283" t="s">
        <v>368</v>
      </c>
      <c r="B97" s="293">
        <v>3</v>
      </c>
      <c r="C97" s="293">
        <v>8</v>
      </c>
      <c r="D97" s="294">
        <v>35</v>
      </c>
      <c r="E97" s="295">
        <f t="shared" si="26"/>
        <v>4.2225826668958426</v>
      </c>
      <c r="F97" s="295">
        <f t="shared" si="23"/>
        <v>3.5986908599833538</v>
      </c>
      <c r="G97" s="293">
        <v>20</v>
      </c>
      <c r="H97" s="293">
        <v>5</v>
      </c>
      <c r="I97" s="294">
        <v>40</v>
      </c>
      <c r="J97" s="295">
        <f t="shared" si="24"/>
        <v>3.7645313796964266</v>
      </c>
      <c r="K97" s="295">
        <f t="shared" si="25"/>
        <v>2.4468068992206229</v>
      </c>
      <c r="L97" s="295">
        <f t="shared" si="27"/>
        <v>59.732210564362518</v>
      </c>
      <c r="P97"/>
      <c r="Q97"/>
      <c r="R97"/>
      <c r="S97"/>
    </row>
    <row r="98" spans="1:19" ht="45.75" thickTop="1">
      <c r="A98" s="259" t="s">
        <v>369</v>
      </c>
      <c r="B98" s="213">
        <v>1</v>
      </c>
      <c r="C98" s="213">
        <v>8</v>
      </c>
      <c r="D98" s="297">
        <v>35</v>
      </c>
      <c r="E98" s="298">
        <f t="shared" si="26"/>
        <v>4.2225826668958426</v>
      </c>
      <c r="F98" s="292">
        <f t="shared" si="23"/>
        <v>3.5986908599833538</v>
      </c>
      <c r="G98" s="213">
        <v>2</v>
      </c>
      <c r="H98" s="213">
        <v>5</v>
      </c>
      <c r="I98" s="297">
        <v>40</v>
      </c>
      <c r="J98" s="298">
        <f t="shared" si="24"/>
        <v>3.7645313796964266</v>
      </c>
      <c r="K98" s="292">
        <f t="shared" si="25"/>
        <v>2.4468068992206229</v>
      </c>
      <c r="L98" s="292">
        <f>B98*F98+G98*K98</f>
        <v>8.4923046584245991</v>
      </c>
      <c r="P98"/>
      <c r="Q98"/>
      <c r="R98"/>
      <c r="S98"/>
    </row>
    <row r="99" spans="1:19" ht="45">
      <c r="A99" s="62" t="s">
        <v>370</v>
      </c>
      <c r="B99" s="213">
        <v>2</v>
      </c>
      <c r="C99" s="213">
        <v>8</v>
      </c>
      <c r="D99" s="255">
        <v>35</v>
      </c>
      <c r="E99" s="292">
        <f t="shared" si="26"/>
        <v>4.2225826668958426</v>
      </c>
      <c r="F99" s="292">
        <f t="shared" si="23"/>
        <v>3.5986908599833538</v>
      </c>
      <c r="G99" s="213">
        <v>2</v>
      </c>
      <c r="H99" s="213">
        <v>5</v>
      </c>
      <c r="I99" s="255">
        <v>40</v>
      </c>
      <c r="J99" s="292">
        <f t="shared" si="24"/>
        <v>3.7645313796964266</v>
      </c>
      <c r="K99" s="292">
        <f t="shared" si="25"/>
        <v>2.4468068992206229</v>
      </c>
      <c r="L99" s="292">
        <f t="shared" ref="L99:L114" si="28">B99*F99+G99*K99</f>
        <v>12.090995518407954</v>
      </c>
      <c r="P99"/>
      <c r="Q99"/>
      <c r="R99"/>
      <c r="S99"/>
    </row>
    <row r="100" spans="1:19" ht="45">
      <c r="A100" s="62" t="s">
        <v>371</v>
      </c>
      <c r="B100" s="213">
        <v>2</v>
      </c>
      <c r="C100" s="213">
        <v>8</v>
      </c>
      <c r="D100" s="255">
        <v>35</v>
      </c>
      <c r="E100" s="292">
        <f t="shared" si="26"/>
        <v>4.2225826668958426</v>
      </c>
      <c r="F100" s="292">
        <f t="shared" si="23"/>
        <v>3.5986908599833538</v>
      </c>
      <c r="G100" s="213">
        <v>4</v>
      </c>
      <c r="H100" s="213">
        <v>5</v>
      </c>
      <c r="I100" s="255">
        <v>40</v>
      </c>
      <c r="J100" s="292">
        <f t="shared" si="24"/>
        <v>3.7645313796964266</v>
      </c>
      <c r="K100" s="292">
        <f t="shared" si="25"/>
        <v>2.4468068992206229</v>
      </c>
      <c r="L100" s="292">
        <f t="shared" si="28"/>
        <v>16.984609316849198</v>
      </c>
      <c r="P100"/>
      <c r="Q100"/>
      <c r="R100"/>
      <c r="S100"/>
    </row>
    <row r="101" spans="1:19" ht="45">
      <c r="A101" s="62" t="s">
        <v>372</v>
      </c>
      <c r="B101" s="213">
        <v>2</v>
      </c>
      <c r="C101" s="213">
        <v>8</v>
      </c>
      <c r="D101" s="255">
        <v>35</v>
      </c>
      <c r="E101" s="292">
        <f t="shared" si="26"/>
        <v>4.2225826668958426</v>
      </c>
      <c r="F101" s="292">
        <f t="shared" si="23"/>
        <v>3.5986908599833538</v>
      </c>
      <c r="G101" s="213">
        <v>6</v>
      </c>
      <c r="H101" s="213">
        <v>5</v>
      </c>
      <c r="I101" s="255">
        <v>40</v>
      </c>
      <c r="J101" s="292">
        <f t="shared" si="24"/>
        <v>3.7645313796964266</v>
      </c>
      <c r="K101" s="292">
        <f t="shared" si="25"/>
        <v>2.4468068992206229</v>
      </c>
      <c r="L101" s="292">
        <f t="shared" si="28"/>
        <v>21.878223115290446</v>
      </c>
      <c r="P101"/>
      <c r="Q101"/>
      <c r="R101"/>
      <c r="S101"/>
    </row>
    <row r="102" spans="1:19" ht="45">
      <c r="A102" s="62" t="s">
        <v>373</v>
      </c>
      <c r="B102" s="213">
        <v>2</v>
      </c>
      <c r="C102" s="213">
        <v>8</v>
      </c>
      <c r="D102" s="255">
        <v>35</v>
      </c>
      <c r="E102" s="292">
        <f t="shared" si="26"/>
        <v>4.2225826668958426</v>
      </c>
      <c r="F102" s="292">
        <f t="shared" si="23"/>
        <v>3.5986908599833538</v>
      </c>
      <c r="G102" s="213">
        <v>8</v>
      </c>
      <c r="H102" s="213">
        <v>5</v>
      </c>
      <c r="I102" s="255">
        <v>40</v>
      </c>
      <c r="J102" s="292">
        <f t="shared" si="24"/>
        <v>3.7645313796964266</v>
      </c>
      <c r="K102" s="292">
        <f t="shared" si="25"/>
        <v>2.4468068992206229</v>
      </c>
      <c r="L102" s="292">
        <f t="shared" si="28"/>
        <v>26.77183691373169</v>
      </c>
      <c r="P102"/>
      <c r="Q102"/>
      <c r="R102"/>
      <c r="S102"/>
    </row>
    <row r="103" spans="1:19" ht="45">
      <c r="A103" s="62" t="s">
        <v>374</v>
      </c>
      <c r="B103" s="213">
        <v>2</v>
      </c>
      <c r="C103" s="213">
        <v>8</v>
      </c>
      <c r="D103" s="255">
        <v>35</v>
      </c>
      <c r="E103" s="292">
        <f t="shared" si="26"/>
        <v>4.2225826668958426</v>
      </c>
      <c r="F103" s="292">
        <f t="shared" si="23"/>
        <v>3.5986908599833538</v>
      </c>
      <c r="G103" s="213">
        <v>10</v>
      </c>
      <c r="H103" s="213">
        <v>5</v>
      </c>
      <c r="I103" s="255">
        <v>40</v>
      </c>
      <c r="J103" s="292">
        <f t="shared" si="24"/>
        <v>3.7645313796964266</v>
      </c>
      <c r="K103" s="292">
        <f t="shared" si="25"/>
        <v>2.4468068992206229</v>
      </c>
      <c r="L103" s="292">
        <f t="shared" si="28"/>
        <v>31.665450712172934</v>
      </c>
      <c r="P103"/>
      <c r="Q103"/>
      <c r="R103"/>
      <c r="S103"/>
    </row>
    <row r="104" spans="1:19" ht="45">
      <c r="A104" s="62" t="s">
        <v>375</v>
      </c>
      <c r="B104" s="213">
        <v>3</v>
      </c>
      <c r="C104" s="213">
        <v>8</v>
      </c>
      <c r="D104" s="255">
        <v>35</v>
      </c>
      <c r="E104" s="292">
        <f t="shared" si="26"/>
        <v>4.2225826668958426</v>
      </c>
      <c r="F104" s="292">
        <f t="shared" si="23"/>
        <v>3.5986908599833538</v>
      </c>
      <c r="G104" s="213">
        <v>4</v>
      </c>
      <c r="H104" s="213">
        <v>5</v>
      </c>
      <c r="I104" s="255">
        <v>40</v>
      </c>
      <c r="J104" s="292">
        <f t="shared" si="24"/>
        <v>3.7645313796964266</v>
      </c>
      <c r="K104" s="292">
        <f t="shared" si="25"/>
        <v>2.4468068992206229</v>
      </c>
      <c r="L104" s="292">
        <f t="shared" si="28"/>
        <v>20.583300176832552</v>
      </c>
      <c r="P104"/>
      <c r="Q104"/>
      <c r="R104"/>
      <c r="S104"/>
    </row>
    <row r="105" spans="1:19" ht="45">
      <c r="A105" s="62" t="s">
        <v>376</v>
      </c>
      <c r="B105" s="213">
        <v>3</v>
      </c>
      <c r="C105" s="213">
        <v>8</v>
      </c>
      <c r="D105" s="255">
        <v>35</v>
      </c>
      <c r="E105" s="292">
        <f t="shared" si="26"/>
        <v>4.2225826668958426</v>
      </c>
      <c r="F105" s="292">
        <f t="shared" si="23"/>
        <v>3.5986908599833538</v>
      </c>
      <c r="G105" s="213">
        <v>8</v>
      </c>
      <c r="H105" s="213">
        <v>5</v>
      </c>
      <c r="I105" s="255">
        <v>40</v>
      </c>
      <c r="J105" s="292">
        <f t="shared" si="24"/>
        <v>3.7645313796964266</v>
      </c>
      <c r="K105" s="292">
        <f t="shared" si="25"/>
        <v>2.4468068992206229</v>
      </c>
      <c r="L105" s="292">
        <f t="shared" si="28"/>
        <v>30.370527773715047</v>
      </c>
      <c r="P105"/>
      <c r="Q105"/>
      <c r="R105"/>
      <c r="S105"/>
    </row>
    <row r="106" spans="1:19" ht="45">
      <c r="A106" s="62" t="s">
        <v>377</v>
      </c>
      <c r="B106" s="213">
        <v>3</v>
      </c>
      <c r="C106" s="213">
        <v>8</v>
      </c>
      <c r="D106" s="255">
        <v>35</v>
      </c>
      <c r="E106" s="292">
        <f t="shared" si="26"/>
        <v>4.2225826668958426</v>
      </c>
      <c r="F106" s="292">
        <f t="shared" si="23"/>
        <v>3.5986908599833538</v>
      </c>
      <c r="G106" s="213">
        <v>12</v>
      </c>
      <c r="H106" s="213">
        <v>5</v>
      </c>
      <c r="I106" s="255">
        <v>40</v>
      </c>
      <c r="J106" s="292">
        <f t="shared" si="24"/>
        <v>3.7645313796964266</v>
      </c>
      <c r="K106" s="292">
        <f t="shared" si="25"/>
        <v>2.4468068992206229</v>
      </c>
      <c r="L106" s="292">
        <f t="shared" si="28"/>
        <v>40.157755370597535</v>
      </c>
      <c r="P106"/>
      <c r="Q106"/>
      <c r="R106"/>
      <c r="S106"/>
    </row>
    <row r="107" spans="1:19" ht="45">
      <c r="A107" s="62" t="s">
        <v>378</v>
      </c>
      <c r="B107" s="213">
        <v>3</v>
      </c>
      <c r="C107" s="213">
        <v>8</v>
      </c>
      <c r="D107" s="255">
        <v>35</v>
      </c>
      <c r="E107" s="292">
        <f t="shared" si="26"/>
        <v>4.2225826668958426</v>
      </c>
      <c r="F107" s="292">
        <f t="shared" si="23"/>
        <v>3.5986908599833538</v>
      </c>
      <c r="G107" s="213">
        <v>16</v>
      </c>
      <c r="H107" s="213">
        <v>5</v>
      </c>
      <c r="I107" s="255">
        <v>40</v>
      </c>
      <c r="J107" s="292">
        <f t="shared" si="24"/>
        <v>3.7645313796964266</v>
      </c>
      <c r="K107" s="292">
        <f t="shared" si="25"/>
        <v>2.4468068992206229</v>
      </c>
      <c r="L107" s="292">
        <f t="shared" si="28"/>
        <v>49.94498296748003</v>
      </c>
      <c r="P107"/>
      <c r="Q107"/>
      <c r="R107"/>
      <c r="S107"/>
    </row>
    <row r="108" spans="1:19" ht="45.75" thickBot="1">
      <c r="A108" s="283" t="s">
        <v>379</v>
      </c>
      <c r="B108" s="293">
        <v>3</v>
      </c>
      <c r="C108" s="293">
        <v>8</v>
      </c>
      <c r="D108" s="294">
        <v>35</v>
      </c>
      <c r="E108" s="295">
        <f t="shared" si="26"/>
        <v>4.2225826668958426</v>
      </c>
      <c r="F108" s="295">
        <f t="shared" si="23"/>
        <v>3.5986908599833538</v>
      </c>
      <c r="G108" s="293">
        <v>20</v>
      </c>
      <c r="H108" s="293">
        <v>5</v>
      </c>
      <c r="I108" s="294">
        <v>40</v>
      </c>
      <c r="J108" s="295">
        <f t="shared" si="24"/>
        <v>3.7645313796964266</v>
      </c>
      <c r="K108" s="295">
        <f t="shared" si="25"/>
        <v>2.4468068992206229</v>
      </c>
      <c r="L108" s="295">
        <f t="shared" si="28"/>
        <v>59.732210564362518</v>
      </c>
      <c r="P108"/>
      <c r="Q108"/>
      <c r="R108"/>
      <c r="S108"/>
    </row>
    <row r="109" spans="1:19" ht="45.75" thickTop="1">
      <c r="A109" s="62" t="s">
        <v>764</v>
      </c>
      <c r="B109" s="213">
        <v>2</v>
      </c>
      <c r="C109" s="296">
        <v>8</v>
      </c>
      <c r="D109" s="297">
        <v>35</v>
      </c>
      <c r="E109" s="298">
        <f t="shared" ref="E109:E112" si="29">(0.52*SQRT($C109)*D109^0.9*$B$43^0.8)/1000</f>
        <v>4.2225826668958426</v>
      </c>
      <c r="F109" s="298">
        <f t="shared" ref="F109:F112" si="30">MIN($B$48*$B$46*D109/1000,2.3*SQRT($B$45*$B$48*$B$46)/1000+(E109/4),$B$48*$B$46*D109/1000*(SQRT(2+4*$B$45/($B$48*$B$46*D109^2))-1)+E109/4)</f>
        <v>3.5986908599833538</v>
      </c>
      <c r="G109" s="296">
        <v>2</v>
      </c>
      <c r="H109" s="296">
        <v>5</v>
      </c>
      <c r="I109" s="255">
        <v>40</v>
      </c>
      <c r="J109" s="292">
        <f t="shared" si="24"/>
        <v>3.7645313796964266</v>
      </c>
      <c r="K109" s="292">
        <f t="shared" ref="K109:K112" si="31">MIN($C$48*$C$46*I109/1000,2.3*SQRT($C$45*$C$48*$C$46)/1000+(J109/4),$C$48*$C$46*I109/1000*(SQRT(2+4*$C$45/($C$48*$C$46*I109^2))-1)+J109/4)</f>
        <v>2.4468068992206229</v>
      </c>
      <c r="L109" s="292">
        <f t="shared" ref="L109:L112" si="32">B109*F109+G109*K109</f>
        <v>12.090995518407954</v>
      </c>
      <c r="P109"/>
      <c r="Q109"/>
      <c r="R109"/>
      <c r="S109"/>
    </row>
    <row r="110" spans="1:19" ht="45">
      <c r="A110" s="62" t="s">
        <v>765</v>
      </c>
      <c r="B110" s="213">
        <v>2</v>
      </c>
      <c r="C110" s="213">
        <v>8</v>
      </c>
      <c r="D110" s="255">
        <v>35</v>
      </c>
      <c r="E110" s="292">
        <f t="shared" si="29"/>
        <v>4.2225826668958426</v>
      </c>
      <c r="F110" s="292">
        <f t="shared" si="30"/>
        <v>3.5986908599833538</v>
      </c>
      <c r="G110" s="213">
        <v>3</v>
      </c>
      <c r="H110" s="213">
        <v>5</v>
      </c>
      <c r="I110" s="255">
        <v>40</v>
      </c>
      <c r="J110" s="292">
        <f t="shared" si="24"/>
        <v>3.7645313796964266</v>
      </c>
      <c r="K110" s="292">
        <f t="shared" si="31"/>
        <v>2.4468068992206229</v>
      </c>
      <c r="L110" s="292">
        <f t="shared" si="32"/>
        <v>14.537802417628576</v>
      </c>
      <c r="P110"/>
      <c r="Q110"/>
      <c r="R110"/>
      <c r="S110"/>
    </row>
    <row r="111" spans="1:19" ht="45">
      <c r="A111" s="62" t="s">
        <v>766</v>
      </c>
      <c r="B111" s="213">
        <v>2</v>
      </c>
      <c r="C111" s="213">
        <v>8</v>
      </c>
      <c r="D111" s="255">
        <v>35</v>
      </c>
      <c r="E111" s="292">
        <f t="shared" si="29"/>
        <v>4.2225826668958426</v>
      </c>
      <c r="F111" s="292">
        <f t="shared" si="30"/>
        <v>3.5986908599833538</v>
      </c>
      <c r="G111" s="213">
        <v>3</v>
      </c>
      <c r="H111" s="213">
        <v>5</v>
      </c>
      <c r="I111" s="255">
        <v>40</v>
      </c>
      <c r="J111" s="292">
        <f t="shared" si="24"/>
        <v>3.7645313796964266</v>
      </c>
      <c r="K111" s="292">
        <f t="shared" si="31"/>
        <v>2.4468068992206229</v>
      </c>
      <c r="L111" s="292">
        <f t="shared" si="32"/>
        <v>14.537802417628576</v>
      </c>
      <c r="P111"/>
      <c r="Q111"/>
      <c r="R111"/>
      <c r="S111"/>
    </row>
    <row r="112" spans="1:19" ht="45.75" thickBot="1">
      <c r="A112" s="283" t="s">
        <v>767</v>
      </c>
      <c r="B112" s="293">
        <v>2</v>
      </c>
      <c r="C112" s="293">
        <v>8</v>
      </c>
      <c r="D112" s="294">
        <v>35</v>
      </c>
      <c r="E112" s="295">
        <f t="shared" si="29"/>
        <v>4.2225826668958426</v>
      </c>
      <c r="F112" s="295">
        <f t="shared" si="30"/>
        <v>3.5986908599833538</v>
      </c>
      <c r="G112" s="293">
        <v>4</v>
      </c>
      <c r="H112" s="293">
        <v>5</v>
      </c>
      <c r="I112" s="294">
        <v>40</v>
      </c>
      <c r="J112" s="295">
        <f t="shared" si="24"/>
        <v>3.7645313796964266</v>
      </c>
      <c r="K112" s="295">
        <f t="shared" si="31"/>
        <v>2.4468068992206229</v>
      </c>
      <c r="L112" s="295">
        <f t="shared" si="32"/>
        <v>16.984609316849198</v>
      </c>
      <c r="P112"/>
      <c r="Q112"/>
      <c r="R112"/>
      <c r="S112"/>
    </row>
    <row r="113" spans="1:20" ht="45.75" thickTop="1">
      <c r="A113" s="259" t="s">
        <v>380</v>
      </c>
      <c r="B113" s="296">
        <v>1</v>
      </c>
      <c r="C113" s="296">
        <v>5</v>
      </c>
      <c r="D113" s="297">
        <v>35</v>
      </c>
      <c r="E113" s="298">
        <f t="shared" si="26"/>
        <v>3.3382447089347353</v>
      </c>
      <c r="F113" s="298">
        <f>MIN($C$48*$C$46*D113/1000,2.3*SQRT($C$45*$C$48*$C$46)/1000+(E113/4),$C$48*$C$46*D113/1000*(SQRT(2+4*$C$45/($C$48*$C$46*D113^2))-1)+E113/4)</f>
        <v>2.3402352315302002</v>
      </c>
      <c r="G113" s="296">
        <v>2</v>
      </c>
      <c r="H113" s="296">
        <v>5</v>
      </c>
      <c r="I113" s="297">
        <v>40</v>
      </c>
      <c r="J113" s="298">
        <f t="shared" si="24"/>
        <v>3.7645313796964266</v>
      </c>
      <c r="K113" s="298">
        <f>MIN($C$48*$C$46*I113/1000,2.3*SQRT($C$45*$C$48*$C$46)/1000+(J113/4),$C$48*$C$46*I113/1000*(SQRT(2+4*$C$45/($C$48*$C$46*I113^2))-1)+J113/4)</f>
        <v>2.4468068992206229</v>
      </c>
      <c r="L113" s="298">
        <f t="shared" si="28"/>
        <v>7.233849029971446</v>
      </c>
      <c r="P113"/>
      <c r="Q113"/>
      <c r="R113"/>
      <c r="S113"/>
    </row>
    <row r="114" spans="1:20" ht="45">
      <c r="A114" s="259" t="s">
        <v>381</v>
      </c>
      <c r="B114" s="213">
        <v>1</v>
      </c>
      <c r="C114" s="213">
        <v>5</v>
      </c>
      <c r="D114" s="255">
        <v>35</v>
      </c>
      <c r="E114" s="292">
        <f t="shared" si="26"/>
        <v>3.3382447089347353</v>
      </c>
      <c r="F114" s="292">
        <f>MIN($C$48*$C$46*D114/1000,2.3*SQRT($C$45*$C$48*$C$46)/1000+(E114/4),$C$48*$C$46*D114/1000*(SQRT(2+4*$C$45/($C$48*$C$46*D114^2))-1)+E114/4)</f>
        <v>2.3402352315302002</v>
      </c>
      <c r="G114" s="213">
        <v>2</v>
      </c>
      <c r="H114" s="213">
        <v>5</v>
      </c>
      <c r="I114" s="255">
        <v>40</v>
      </c>
      <c r="J114" s="292">
        <f t="shared" si="24"/>
        <v>3.7645313796964266</v>
      </c>
      <c r="K114" s="292">
        <f>MIN($C$48*$C$46*I114/1000,2.3*SQRT($C$45*$C$48*$C$46)/1000+(J114/4),$C$48*$C$46*I114/1000*(SQRT(2+4*$C$45/($C$48*$C$46*I114^2))-1)+J114/4)</f>
        <v>2.4468068992206229</v>
      </c>
      <c r="L114" s="292">
        <f t="shared" si="28"/>
        <v>7.233849029971446</v>
      </c>
      <c r="P114"/>
      <c r="Q114"/>
      <c r="R114"/>
      <c r="S114"/>
    </row>
    <row r="116" spans="1:20">
      <c r="B116" s="71"/>
      <c r="F116" t="s">
        <v>69</v>
      </c>
    </row>
    <row r="117" spans="1:20" ht="18">
      <c r="A117" s="3" t="s">
        <v>2</v>
      </c>
      <c r="B117" s="72" t="s">
        <v>58</v>
      </c>
      <c r="C117" s="72" t="s">
        <v>70</v>
      </c>
      <c r="D117" s="4" t="s">
        <v>71</v>
      </c>
      <c r="E117" s="72" t="s">
        <v>72</v>
      </c>
      <c r="F117" s="73" t="s">
        <v>73</v>
      </c>
      <c r="G117" s="74"/>
      <c r="O117" s="3" t="s">
        <v>2</v>
      </c>
      <c r="P117" s="664" t="s">
        <v>74</v>
      </c>
      <c r="Q117" s="665"/>
      <c r="R117" s="665"/>
      <c r="S117" s="665"/>
      <c r="T117" s="666"/>
    </row>
    <row r="118" spans="1:20">
      <c r="A118" s="7" t="s">
        <v>319</v>
      </c>
      <c r="B118" s="75" t="s">
        <v>17</v>
      </c>
      <c r="C118" s="76" t="s">
        <v>17</v>
      </c>
      <c r="D118" s="8" t="s">
        <v>75</v>
      </c>
      <c r="E118" s="76" t="s">
        <v>17</v>
      </c>
      <c r="F118" s="77" t="s">
        <v>17</v>
      </c>
      <c r="G118" s="74"/>
      <c r="O118" s="7" t="s">
        <v>317</v>
      </c>
      <c r="P118" s="87">
        <v>0.6</v>
      </c>
      <c r="Q118" s="87">
        <v>0.7</v>
      </c>
      <c r="R118" s="87">
        <v>0.8</v>
      </c>
      <c r="S118" s="87">
        <v>0.9</v>
      </c>
      <c r="T118" s="87">
        <v>1</v>
      </c>
    </row>
    <row r="119" spans="1:20" ht="45">
      <c r="A119" s="62" t="s">
        <v>882</v>
      </c>
      <c r="B119" s="123">
        <f>IF(AND($B$42=$V$16,$B$44=3),0,0.7*L53)</f>
        <v>3.9826489019495162</v>
      </c>
      <c r="C119" s="284">
        <f>IF(AND($B$42=$V$16,$B$44=3),0,5.6)</f>
        <v>5.6</v>
      </c>
      <c r="D119" s="299">
        <v>4.5999999999999996</v>
      </c>
      <c r="E119" s="252">
        <f>0.7/(SQRT((1/L86)^2+(1/(D119*J86)^2)))</f>
        <v>5.9643593821345791</v>
      </c>
      <c r="F119" s="300">
        <f>MIN(B119,E119)</f>
        <v>3.9826489019495162</v>
      </c>
      <c r="G119" s="74"/>
      <c r="O119" s="62" t="s">
        <v>882</v>
      </c>
      <c r="P119" s="81">
        <f t="shared" ref="P119:T128" si="33">MIN(P$118*$B119/$B$148,$C119/$C$148,P$118*$E119/$E$148)</f>
        <v>1.8381456470536228</v>
      </c>
      <c r="Q119" s="81">
        <f t="shared" si="33"/>
        <v>2.1445032548958931</v>
      </c>
      <c r="R119" s="81">
        <f t="shared" si="33"/>
        <v>2.4508608627381641</v>
      </c>
      <c r="S119" s="81">
        <f t="shared" si="33"/>
        <v>2.7572184705804341</v>
      </c>
      <c r="T119" s="81">
        <f t="shared" si="33"/>
        <v>3.0635760784227046</v>
      </c>
    </row>
    <row r="120" spans="1:20" ht="45">
      <c r="A120" s="62" t="s">
        <v>358</v>
      </c>
      <c r="B120" s="123">
        <f>IF(AND($B$42=$V$16,$B$44=3),0,L54)</f>
        <v>5.1804296195027444</v>
      </c>
      <c r="C120" s="284">
        <f>IF(AND($B$42=$V$16,$B$44=3),0,4.5)</f>
        <v>4.5</v>
      </c>
      <c r="D120" s="299">
        <v>2.2999999999999998</v>
      </c>
      <c r="E120" s="252">
        <f>1/(SQRT((1/L87)^2+(1/(D120*E87)^2)))</f>
        <v>6.3929510461985073</v>
      </c>
      <c r="F120" s="300">
        <f>MIN(B120,E120)</f>
        <v>5.1804296195027444</v>
      </c>
      <c r="G120" s="89"/>
      <c r="O120" s="62" t="s">
        <v>358</v>
      </c>
      <c r="P120" s="81">
        <f t="shared" si="33"/>
        <v>2.3909675166935744</v>
      </c>
      <c r="Q120" s="81">
        <f t="shared" si="33"/>
        <v>2.7894621028091695</v>
      </c>
      <c r="R120" s="81">
        <f t="shared" si="33"/>
        <v>3.1879566889247655</v>
      </c>
      <c r="S120" s="81">
        <f t="shared" si="33"/>
        <v>3.5864512750403614</v>
      </c>
      <c r="T120" s="81">
        <f t="shared" si="33"/>
        <v>3.9849458611559569</v>
      </c>
    </row>
    <row r="121" spans="1:20" ht="45">
      <c r="A121" s="62" t="s">
        <v>359</v>
      </c>
      <c r="B121" s="123">
        <f t="shared" ref="B121:B147" si="34">IF(AND($B$42=$V$16,$B$44=3),0,L55)</f>
        <v>7.5161100233272613</v>
      </c>
      <c r="C121" s="284">
        <f>IF(AND($B$42=$V$16,$B$44=3),0,8.2)</f>
        <v>8.1999999999999993</v>
      </c>
      <c r="D121" s="299">
        <v>5.09</v>
      </c>
      <c r="E121" s="252">
        <f t="shared" ref="E121:E147" si="35">1/(SQRT((1/L88)^2+(1/(D121*E88)^2)))</f>
        <v>10.537961665735278</v>
      </c>
      <c r="F121" s="300">
        <f t="shared" ref="F121:F130" si="36">MIN(B121,E121)</f>
        <v>7.5161100233272613</v>
      </c>
      <c r="G121" s="89"/>
      <c r="O121" s="62" t="s">
        <v>359</v>
      </c>
      <c r="P121" s="81">
        <f t="shared" si="33"/>
        <v>3.4689738569202739</v>
      </c>
      <c r="Q121" s="81">
        <f t="shared" si="33"/>
        <v>4.0471361664069869</v>
      </c>
      <c r="R121" s="81">
        <f t="shared" si="33"/>
        <v>4.6252984758936995</v>
      </c>
      <c r="S121" s="81">
        <f t="shared" si="33"/>
        <v>5.203460785380412</v>
      </c>
      <c r="T121" s="81">
        <f t="shared" si="33"/>
        <v>5.7816230948671237</v>
      </c>
    </row>
    <row r="122" spans="1:20" ht="45">
      <c r="A122" s="62" t="s">
        <v>360</v>
      </c>
      <c r="B122" s="123">
        <f t="shared" si="34"/>
        <v>10.360859239005489</v>
      </c>
      <c r="C122" s="284">
        <f>IF(AND($B$42=$V$16,$B$44=3),0,10.4)</f>
        <v>10.4</v>
      </c>
      <c r="D122" s="299">
        <v>10.9</v>
      </c>
      <c r="E122" s="252">
        <f t="shared" si="35"/>
        <v>15.934288721558111</v>
      </c>
      <c r="F122" s="300">
        <f t="shared" si="36"/>
        <v>10.360859239005489</v>
      </c>
      <c r="G122" s="89"/>
      <c r="O122" s="62" t="s">
        <v>360</v>
      </c>
      <c r="P122" s="81">
        <f t="shared" si="33"/>
        <v>4.7819350333871489</v>
      </c>
      <c r="Q122" s="81">
        <f t="shared" si="33"/>
        <v>5.578924205618339</v>
      </c>
      <c r="R122" s="81">
        <f t="shared" si="33"/>
        <v>6.3759133778495309</v>
      </c>
      <c r="S122" s="81">
        <f t="shared" si="33"/>
        <v>7.1729025500807229</v>
      </c>
      <c r="T122" s="81">
        <f t="shared" si="33"/>
        <v>7.9698917223119139</v>
      </c>
    </row>
    <row r="123" spans="1:20" ht="45">
      <c r="A123" s="62" t="s">
        <v>361</v>
      </c>
      <c r="B123" s="123">
        <f t="shared" si="34"/>
        <v>13.205608454683714</v>
      </c>
      <c r="C123" s="284">
        <f>IF(AND($B$42=$V$16,$B$44=3),0,13.4)</f>
        <v>13.4</v>
      </c>
      <c r="D123" s="299">
        <v>19.100000000000001</v>
      </c>
      <c r="E123" s="252">
        <f t="shared" si="35"/>
        <v>21.115113830225891</v>
      </c>
      <c r="F123" s="300">
        <f t="shared" si="36"/>
        <v>13.205608454683714</v>
      </c>
      <c r="G123" s="89"/>
      <c r="O123" s="62" t="s">
        <v>361</v>
      </c>
      <c r="P123" s="81">
        <f t="shared" si="33"/>
        <v>6.0948962098540216</v>
      </c>
      <c r="Q123" s="81">
        <f t="shared" si="33"/>
        <v>7.1107122448296911</v>
      </c>
      <c r="R123" s="81">
        <f t="shared" si="33"/>
        <v>8.1265282798053633</v>
      </c>
      <c r="S123" s="81">
        <f t="shared" si="33"/>
        <v>9.1423443147810328</v>
      </c>
      <c r="T123" s="81">
        <f t="shared" si="33"/>
        <v>10.158160349756702</v>
      </c>
    </row>
    <row r="124" spans="1:20" ht="45">
      <c r="A124" s="62" t="s">
        <v>362</v>
      </c>
      <c r="B124" s="123">
        <f t="shared" si="34"/>
        <v>16.05035767036194</v>
      </c>
      <c r="C124" s="284">
        <f>IF(AND($B$42=$V$16,$B$44=3),0,13.4)</f>
        <v>13.4</v>
      </c>
      <c r="D124" s="299">
        <v>29.6</v>
      </c>
      <c r="E124" s="252">
        <f t="shared" si="35"/>
        <v>26.178055916606723</v>
      </c>
      <c r="F124" s="300">
        <f t="shared" si="36"/>
        <v>16.05035767036194</v>
      </c>
      <c r="G124" s="89"/>
      <c r="O124" s="62" t="s">
        <v>362</v>
      </c>
      <c r="P124" s="81">
        <f t="shared" si="33"/>
        <v>7.4078573863208952</v>
      </c>
      <c r="Q124" s="81">
        <f t="shared" si="33"/>
        <v>8.6425002840410432</v>
      </c>
      <c r="R124" s="81">
        <f t="shared" si="33"/>
        <v>9.8771431817611948</v>
      </c>
      <c r="S124" s="81">
        <f t="shared" si="33"/>
        <v>11.111786079481343</v>
      </c>
      <c r="T124" s="81">
        <f t="shared" si="33"/>
        <v>12.346428977201493</v>
      </c>
    </row>
    <row r="125" spans="1:20" ht="45">
      <c r="A125" s="62" t="s">
        <v>363</v>
      </c>
      <c r="B125" s="123">
        <f t="shared" si="34"/>
        <v>18.895106886040168</v>
      </c>
      <c r="C125" s="284">
        <f>IF(AND($B$42=$V$16,$B$44=3),0,13.4)</f>
        <v>13.4</v>
      </c>
      <c r="D125" s="299">
        <v>42.6</v>
      </c>
      <c r="E125" s="252">
        <f t="shared" si="35"/>
        <v>31.185939675185885</v>
      </c>
      <c r="F125" s="300">
        <f t="shared" si="36"/>
        <v>18.895106886040168</v>
      </c>
      <c r="G125" s="89"/>
      <c r="O125" s="62" t="s">
        <v>363</v>
      </c>
      <c r="P125" s="81">
        <f t="shared" si="33"/>
        <v>8.7208185627877697</v>
      </c>
      <c r="Q125" s="81">
        <f t="shared" si="33"/>
        <v>10.174288323252396</v>
      </c>
      <c r="R125" s="81">
        <f t="shared" si="33"/>
        <v>11.627758083717026</v>
      </c>
      <c r="S125" s="81">
        <f t="shared" si="33"/>
        <v>13.081227844181655</v>
      </c>
      <c r="T125" s="81">
        <f t="shared" si="33"/>
        <v>13.4</v>
      </c>
    </row>
    <row r="126" spans="1:20" ht="45">
      <c r="A126" s="62" t="s">
        <v>364</v>
      </c>
      <c r="B126" s="123">
        <f t="shared" si="34"/>
        <v>12.696539642830006</v>
      </c>
      <c r="C126" s="284">
        <f>IF(AND($B$42=$V$16,$B$44=3),0,8.2)</f>
        <v>8.1999999999999993</v>
      </c>
      <c r="D126" s="299">
        <v>27.6</v>
      </c>
      <c r="E126" s="252">
        <f t="shared" si="35"/>
        <v>20.269594190234422</v>
      </c>
      <c r="F126" s="300">
        <f t="shared" si="36"/>
        <v>12.696539642830006</v>
      </c>
      <c r="G126" s="89"/>
      <c r="O126" s="62" t="s">
        <v>364</v>
      </c>
      <c r="P126" s="81">
        <f t="shared" si="33"/>
        <v>5.8599413736138484</v>
      </c>
      <c r="Q126" s="81">
        <f t="shared" si="33"/>
        <v>6.8365982692161564</v>
      </c>
      <c r="R126" s="81">
        <f t="shared" si="33"/>
        <v>7.8132551648184654</v>
      </c>
      <c r="S126" s="81">
        <f t="shared" si="33"/>
        <v>8.1999999999999993</v>
      </c>
      <c r="T126" s="81">
        <f t="shared" si="33"/>
        <v>8.1999999999999993</v>
      </c>
    </row>
    <row r="127" spans="1:20" ht="45">
      <c r="A127" s="62" t="s">
        <v>365</v>
      </c>
      <c r="B127" s="123">
        <f t="shared" si="34"/>
        <v>18.386038074186459</v>
      </c>
      <c r="C127" s="284">
        <f>IF(AND($B$42=$V$16,$B$44=3),0,10.4)</f>
        <v>10.4</v>
      </c>
      <c r="D127" s="299">
        <v>56.5</v>
      </c>
      <c r="E127" s="252">
        <f t="shared" si="35"/>
        <v>30.127400168152349</v>
      </c>
      <c r="F127" s="300">
        <f t="shared" si="36"/>
        <v>18.386038074186459</v>
      </c>
      <c r="G127" s="89"/>
      <c r="O127" s="62" t="s">
        <v>365</v>
      </c>
      <c r="P127" s="81">
        <f t="shared" si="33"/>
        <v>8.4858637265475956</v>
      </c>
      <c r="Q127" s="81">
        <f t="shared" si="33"/>
        <v>9.9001743476388615</v>
      </c>
      <c r="R127" s="81">
        <f t="shared" si="33"/>
        <v>10.4</v>
      </c>
      <c r="S127" s="81">
        <f t="shared" si="33"/>
        <v>10.4</v>
      </c>
      <c r="T127" s="81">
        <f t="shared" si="33"/>
        <v>10.4</v>
      </c>
    </row>
    <row r="128" spans="1:20" ht="45">
      <c r="A128" s="62" t="s">
        <v>366</v>
      </c>
      <c r="B128" s="123">
        <f t="shared" si="34"/>
        <v>24.07553650554291</v>
      </c>
      <c r="C128" s="284">
        <f>IF(AND($B$42=$V$16,$B$44=3),0,13.4)</f>
        <v>13.4</v>
      </c>
      <c r="D128" s="299">
        <v>94.8</v>
      </c>
      <c r="E128" s="252">
        <f t="shared" si="35"/>
        <v>39.957196302462876</v>
      </c>
      <c r="F128" s="300">
        <f t="shared" si="36"/>
        <v>24.07553650554291</v>
      </c>
      <c r="G128" s="89"/>
      <c r="O128" s="62" t="s">
        <v>366</v>
      </c>
      <c r="P128" s="81">
        <f t="shared" si="33"/>
        <v>11.111786079481341</v>
      </c>
      <c r="Q128" s="81">
        <f t="shared" si="33"/>
        <v>12.963750426061566</v>
      </c>
      <c r="R128" s="81">
        <f t="shared" si="33"/>
        <v>13.4</v>
      </c>
      <c r="S128" s="81">
        <f t="shared" si="33"/>
        <v>13.4</v>
      </c>
      <c r="T128" s="81">
        <f t="shared" si="33"/>
        <v>13.4</v>
      </c>
    </row>
    <row r="129" spans="1:20" ht="45">
      <c r="A129" s="62" t="s">
        <v>367</v>
      </c>
      <c r="B129" s="123">
        <f t="shared" si="34"/>
        <v>29.765034936899362</v>
      </c>
      <c r="C129" s="284">
        <f t="shared" ref="C129:C130" si="37">IF(AND($B$42=$V$16,$B$44=3),0,13.4)</f>
        <v>13.4</v>
      </c>
      <c r="D129" s="299">
        <v>94.8</v>
      </c>
      <c r="E129" s="252">
        <f t="shared" si="35"/>
        <v>49.56071173277698</v>
      </c>
      <c r="F129" s="300">
        <f t="shared" si="36"/>
        <v>29.765034936899362</v>
      </c>
      <c r="G129" s="90"/>
      <c r="O129" s="62" t="s">
        <v>367</v>
      </c>
      <c r="P129" s="81">
        <f t="shared" ref="P129:T138" si="38">MIN(P$118*$B129/$B$148,$C129/$C$148,P$118*$E129/$E$148)</f>
        <v>13.4</v>
      </c>
      <c r="Q129" s="81">
        <f t="shared" si="38"/>
        <v>13.4</v>
      </c>
      <c r="R129" s="81">
        <f t="shared" si="38"/>
        <v>13.4</v>
      </c>
      <c r="S129" s="81">
        <f t="shared" si="38"/>
        <v>13.4</v>
      </c>
      <c r="T129" s="81">
        <f t="shared" si="38"/>
        <v>13.4</v>
      </c>
    </row>
    <row r="130" spans="1:20" ht="45.75" thickBot="1">
      <c r="A130" s="283" t="s">
        <v>368</v>
      </c>
      <c r="B130" s="123">
        <f t="shared" si="34"/>
        <v>35.454533368255817</v>
      </c>
      <c r="C130" s="284">
        <f t="shared" si="37"/>
        <v>13.4</v>
      </c>
      <c r="D130" s="301">
        <v>94.8</v>
      </c>
      <c r="E130" s="302">
        <f t="shared" si="35"/>
        <v>59.078111965190708</v>
      </c>
      <c r="F130" s="303">
        <f t="shared" si="36"/>
        <v>35.454533368255817</v>
      </c>
      <c r="G130" s="90"/>
      <c r="O130" s="283" t="s">
        <v>368</v>
      </c>
      <c r="P130" s="235">
        <f t="shared" si="38"/>
        <v>13.4</v>
      </c>
      <c r="Q130" s="235">
        <f t="shared" si="38"/>
        <v>13.4</v>
      </c>
      <c r="R130" s="235">
        <f t="shared" si="38"/>
        <v>13.4</v>
      </c>
      <c r="S130" s="235">
        <f t="shared" si="38"/>
        <v>13.4</v>
      </c>
      <c r="T130" s="235">
        <f t="shared" si="38"/>
        <v>13.4</v>
      </c>
    </row>
    <row r="131" spans="1:20" ht="45.75" thickTop="1">
      <c r="A131" s="259" t="s">
        <v>369</v>
      </c>
      <c r="B131" s="123">
        <f t="shared" si="34"/>
        <v>5.1804296195027444</v>
      </c>
      <c r="C131" s="284">
        <f>IF(AND($B$42=$V$16,$B$44=3),0,4.5)</f>
        <v>4.5</v>
      </c>
      <c r="D131" s="304">
        <v>2.4</v>
      </c>
      <c r="E131" s="305">
        <f t="shared" si="35"/>
        <v>6.5090543877268745</v>
      </c>
      <c r="F131" s="306">
        <f>MIN(B131,E131)</f>
        <v>5.1804296195027444</v>
      </c>
      <c r="G131" s="90"/>
      <c r="O131" s="259" t="s">
        <v>369</v>
      </c>
      <c r="P131" s="236">
        <f t="shared" si="38"/>
        <v>2.3909675166935744</v>
      </c>
      <c r="Q131" s="236">
        <f t="shared" si="38"/>
        <v>2.7894621028091695</v>
      </c>
      <c r="R131" s="236">
        <f t="shared" si="38"/>
        <v>3.1879566889247655</v>
      </c>
      <c r="S131" s="236">
        <f t="shared" si="38"/>
        <v>3.5864512750403614</v>
      </c>
      <c r="T131" s="236">
        <f t="shared" si="38"/>
        <v>3.9849458611559569</v>
      </c>
    </row>
    <row r="132" spans="1:20" ht="45">
      <c r="A132" s="62" t="s">
        <v>370</v>
      </c>
      <c r="B132" s="123">
        <f t="shared" si="34"/>
        <v>7.5161100233272613</v>
      </c>
      <c r="C132" s="284">
        <f>IF(AND($B$42=$V$16,$B$44=3),0,8.2)</f>
        <v>8.1999999999999993</v>
      </c>
      <c r="D132" s="299">
        <v>6.02</v>
      </c>
      <c r="E132" s="252">
        <f t="shared" si="35"/>
        <v>10.918772579456981</v>
      </c>
      <c r="F132" s="300">
        <f t="shared" ref="F132:F147" si="39">MIN(B132,E132)</f>
        <v>7.5161100233272613</v>
      </c>
      <c r="G132" s="90"/>
      <c r="O132" s="62" t="s">
        <v>370</v>
      </c>
      <c r="P132" s="81">
        <f t="shared" si="38"/>
        <v>3.4689738569202739</v>
      </c>
      <c r="Q132" s="81">
        <f t="shared" si="38"/>
        <v>4.0471361664069869</v>
      </c>
      <c r="R132" s="81">
        <f t="shared" si="38"/>
        <v>4.6252984758936995</v>
      </c>
      <c r="S132" s="81">
        <f t="shared" si="38"/>
        <v>5.203460785380412</v>
      </c>
      <c r="T132" s="81">
        <f t="shared" si="38"/>
        <v>5.7816230948671237</v>
      </c>
    </row>
    <row r="133" spans="1:20" ht="45">
      <c r="A133" s="62" t="s">
        <v>371</v>
      </c>
      <c r="B133" s="123">
        <f t="shared" si="34"/>
        <v>10.360859239005489</v>
      </c>
      <c r="C133" s="284">
        <f>IF(AND($B$42=$V$16,$B$44=3),0,10.4)</f>
        <v>10.4</v>
      </c>
      <c r="D133" s="299">
        <v>12</v>
      </c>
      <c r="E133" s="252">
        <f t="shared" si="35"/>
        <v>16.104003664850044</v>
      </c>
      <c r="F133" s="300">
        <f t="shared" si="39"/>
        <v>10.360859239005489</v>
      </c>
      <c r="G133" s="90"/>
      <c r="O133" s="62" t="s">
        <v>371</v>
      </c>
      <c r="P133" s="81">
        <f t="shared" si="38"/>
        <v>4.7819350333871489</v>
      </c>
      <c r="Q133" s="81">
        <f t="shared" si="38"/>
        <v>5.578924205618339</v>
      </c>
      <c r="R133" s="81">
        <f t="shared" si="38"/>
        <v>6.3759133778495309</v>
      </c>
      <c r="S133" s="81">
        <f t="shared" si="38"/>
        <v>7.1729025500807229</v>
      </c>
      <c r="T133" s="81">
        <f t="shared" si="38"/>
        <v>7.9698917223119139</v>
      </c>
    </row>
    <row r="134" spans="1:20" ht="45">
      <c r="A134" s="62" t="s">
        <v>372</v>
      </c>
      <c r="B134" s="123">
        <f t="shared" si="34"/>
        <v>13.205608454683714</v>
      </c>
      <c r="C134" s="284">
        <f>IF(AND($B$42=$V$16,$B$44=3),0,13.4)</f>
        <v>13.4</v>
      </c>
      <c r="D134" s="299">
        <v>20.3</v>
      </c>
      <c r="E134" s="252">
        <f t="shared" si="35"/>
        <v>21.198632468182748</v>
      </c>
      <c r="F134" s="300">
        <f t="shared" si="39"/>
        <v>13.205608454683714</v>
      </c>
      <c r="G134" s="90"/>
      <c r="O134" s="62" t="s">
        <v>372</v>
      </c>
      <c r="P134" s="81">
        <f t="shared" si="38"/>
        <v>6.0948962098540216</v>
      </c>
      <c r="Q134" s="81">
        <f t="shared" si="38"/>
        <v>7.1107122448296911</v>
      </c>
      <c r="R134" s="81">
        <f t="shared" si="38"/>
        <v>8.1265282798053633</v>
      </c>
      <c r="S134" s="81">
        <f t="shared" si="38"/>
        <v>9.1423443147810328</v>
      </c>
      <c r="T134" s="81">
        <f t="shared" si="38"/>
        <v>10.158160349756702</v>
      </c>
    </row>
    <row r="135" spans="1:20" ht="45">
      <c r="A135" s="62" t="s">
        <v>373</v>
      </c>
      <c r="B135" s="123">
        <f t="shared" si="34"/>
        <v>16.05035767036194</v>
      </c>
      <c r="C135" s="284">
        <f t="shared" ref="C135:C141" si="40">IF(AND($B$42=$V$16,$B$44=3),0,13.4)</f>
        <v>13.4</v>
      </c>
      <c r="D135" s="299">
        <v>31</v>
      </c>
      <c r="E135" s="252">
        <f t="shared" si="35"/>
        <v>26.228893320616869</v>
      </c>
      <c r="F135" s="300">
        <f t="shared" si="39"/>
        <v>16.05035767036194</v>
      </c>
      <c r="G135" s="90"/>
      <c r="O135" s="62" t="s">
        <v>373</v>
      </c>
      <c r="P135" s="81">
        <f t="shared" si="38"/>
        <v>7.4078573863208952</v>
      </c>
      <c r="Q135" s="81">
        <f t="shared" si="38"/>
        <v>8.6425002840410432</v>
      </c>
      <c r="R135" s="81">
        <f t="shared" si="38"/>
        <v>9.8771431817611948</v>
      </c>
      <c r="S135" s="81">
        <f t="shared" si="38"/>
        <v>11.111786079481343</v>
      </c>
      <c r="T135" s="81">
        <f t="shared" si="38"/>
        <v>12.346428977201493</v>
      </c>
    </row>
    <row r="136" spans="1:20" ht="45">
      <c r="A136" s="62" t="s">
        <v>374</v>
      </c>
      <c r="B136" s="123">
        <f t="shared" si="34"/>
        <v>18.895106886040168</v>
      </c>
      <c r="C136" s="284">
        <f t="shared" si="40"/>
        <v>13.4</v>
      </c>
      <c r="D136" s="299">
        <v>44</v>
      </c>
      <c r="E136" s="252">
        <f t="shared" si="35"/>
        <v>31.21533140781359</v>
      </c>
      <c r="F136" s="300">
        <f t="shared" si="39"/>
        <v>18.895106886040168</v>
      </c>
      <c r="G136" s="90"/>
      <c r="I136">
        <f>13.4*1.3</f>
        <v>17.420000000000002</v>
      </c>
      <c r="O136" s="62" t="s">
        <v>374</v>
      </c>
      <c r="P136" s="81">
        <f t="shared" si="38"/>
        <v>8.7208185627877697</v>
      </c>
      <c r="Q136" s="81">
        <f t="shared" si="38"/>
        <v>10.174288323252396</v>
      </c>
      <c r="R136" s="81">
        <f t="shared" si="38"/>
        <v>11.627758083717026</v>
      </c>
      <c r="S136" s="81">
        <f t="shared" si="38"/>
        <v>13.081227844181655</v>
      </c>
      <c r="T136" s="81">
        <f t="shared" si="38"/>
        <v>13.4</v>
      </c>
    </row>
    <row r="137" spans="1:20" ht="45">
      <c r="A137" s="62" t="s">
        <v>375</v>
      </c>
      <c r="B137" s="123">
        <f t="shared" si="34"/>
        <v>12.696539642830006</v>
      </c>
      <c r="C137" s="284">
        <f t="shared" si="40"/>
        <v>13.4</v>
      </c>
      <c r="D137" s="299">
        <v>27.6</v>
      </c>
      <c r="E137" s="252">
        <f t="shared" si="35"/>
        <v>20.269594190234422</v>
      </c>
      <c r="F137" s="300">
        <f t="shared" si="39"/>
        <v>12.696539642830006</v>
      </c>
      <c r="G137" s="90"/>
      <c r="O137" s="62" t="s">
        <v>375</v>
      </c>
      <c r="P137" s="81">
        <f t="shared" si="38"/>
        <v>5.8599413736138484</v>
      </c>
      <c r="Q137" s="81">
        <f t="shared" si="38"/>
        <v>6.8365982692161564</v>
      </c>
      <c r="R137" s="81">
        <f t="shared" si="38"/>
        <v>7.8132551648184654</v>
      </c>
      <c r="S137" s="81">
        <f t="shared" si="38"/>
        <v>8.7899120604207734</v>
      </c>
      <c r="T137" s="81">
        <f t="shared" si="38"/>
        <v>9.7665689560230806</v>
      </c>
    </row>
    <row r="138" spans="1:20" ht="45">
      <c r="A138" s="62" t="s">
        <v>376</v>
      </c>
      <c r="B138" s="123">
        <f t="shared" si="34"/>
        <v>18.386038074186459</v>
      </c>
      <c r="C138" s="284">
        <f t="shared" si="40"/>
        <v>13.4</v>
      </c>
      <c r="D138" s="299">
        <v>56.5</v>
      </c>
      <c r="E138" s="252">
        <f t="shared" si="35"/>
        <v>30.127400168152349</v>
      </c>
      <c r="F138" s="300">
        <f t="shared" si="39"/>
        <v>18.386038074186459</v>
      </c>
      <c r="G138" s="90"/>
      <c r="O138" s="62" t="s">
        <v>376</v>
      </c>
      <c r="P138" s="81">
        <f t="shared" si="38"/>
        <v>8.4858637265475956</v>
      </c>
      <c r="Q138" s="81">
        <f t="shared" si="38"/>
        <v>9.9001743476388615</v>
      </c>
      <c r="R138" s="81">
        <f t="shared" si="38"/>
        <v>11.314484968730129</v>
      </c>
      <c r="S138" s="81">
        <f t="shared" si="38"/>
        <v>12.728795589821393</v>
      </c>
      <c r="T138" s="81">
        <f t="shared" si="38"/>
        <v>13.4</v>
      </c>
    </row>
    <row r="139" spans="1:20" ht="45">
      <c r="A139" s="62" t="s">
        <v>377</v>
      </c>
      <c r="B139" s="123">
        <f t="shared" si="34"/>
        <v>24.07553650554291</v>
      </c>
      <c r="C139" s="284">
        <f t="shared" si="40"/>
        <v>13.4</v>
      </c>
      <c r="D139" s="299">
        <v>94.8</v>
      </c>
      <c r="E139" s="252">
        <f t="shared" si="35"/>
        <v>39.957196302462876</v>
      </c>
      <c r="F139" s="300">
        <f t="shared" si="39"/>
        <v>24.07553650554291</v>
      </c>
      <c r="G139" s="90"/>
      <c r="O139" s="62" t="s">
        <v>377</v>
      </c>
      <c r="P139" s="81">
        <f t="shared" ref="P139:T147" si="41">MIN(P$118*$B139/$B$148,$C139/$C$148,P$118*$E139/$E$148)</f>
        <v>11.111786079481341</v>
      </c>
      <c r="Q139" s="81">
        <f t="shared" si="41"/>
        <v>12.963750426061566</v>
      </c>
      <c r="R139" s="81">
        <f t="shared" si="41"/>
        <v>13.4</v>
      </c>
      <c r="S139" s="81">
        <f t="shared" si="41"/>
        <v>13.4</v>
      </c>
      <c r="T139" s="81">
        <f t="shared" si="41"/>
        <v>13.4</v>
      </c>
    </row>
    <row r="140" spans="1:20" ht="45">
      <c r="A140" s="62" t="s">
        <v>378</v>
      </c>
      <c r="B140" s="123">
        <f t="shared" si="34"/>
        <v>29.765034936899362</v>
      </c>
      <c r="C140" s="284">
        <f t="shared" si="40"/>
        <v>13.4</v>
      </c>
      <c r="D140" s="299">
        <v>94.8</v>
      </c>
      <c r="E140" s="252">
        <f t="shared" si="35"/>
        <v>49.56071173277698</v>
      </c>
      <c r="F140" s="300">
        <f t="shared" si="39"/>
        <v>29.765034936899362</v>
      </c>
      <c r="G140" s="90"/>
      <c r="O140" s="62" t="s">
        <v>378</v>
      </c>
      <c r="P140" s="81">
        <f t="shared" si="41"/>
        <v>13.4</v>
      </c>
      <c r="Q140" s="81">
        <f t="shared" si="41"/>
        <v>13.4</v>
      </c>
      <c r="R140" s="81">
        <f t="shared" si="41"/>
        <v>13.4</v>
      </c>
      <c r="S140" s="81">
        <f t="shared" si="41"/>
        <v>13.4</v>
      </c>
      <c r="T140" s="81">
        <f t="shared" si="41"/>
        <v>13.4</v>
      </c>
    </row>
    <row r="141" spans="1:20" ht="45.75" thickBot="1">
      <c r="A141" s="283" t="s">
        <v>379</v>
      </c>
      <c r="B141" s="123">
        <f t="shared" si="34"/>
        <v>35.454533368255817</v>
      </c>
      <c r="C141" s="284">
        <f t="shared" si="40"/>
        <v>13.4</v>
      </c>
      <c r="D141" s="301">
        <v>94.8</v>
      </c>
      <c r="E141" s="302">
        <f t="shared" si="35"/>
        <v>59.078111965190708</v>
      </c>
      <c r="F141" s="303">
        <f t="shared" si="39"/>
        <v>35.454533368255817</v>
      </c>
      <c r="G141" s="90"/>
      <c r="O141" s="283" t="s">
        <v>379</v>
      </c>
      <c r="P141" s="235">
        <f t="shared" si="41"/>
        <v>13.4</v>
      </c>
      <c r="Q141" s="235">
        <f t="shared" si="41"/>
        <v>13.4</v>
      </c>
      <c r="R141" s="235">
        <f t="shared" si="41"/>
        <v>13.4</v>
      </c>
      <c r="S141" s="235">
        <f t="shared" si="41"/>
        <v>13.4</v>
      </c>
      <c r="T141" s="235">
        <f t="shared" si="41"/>
        <v>13.4</v>
      </c>
    </row>
    <row r="142" spans="1:20" ht="45.75" thickTop="1">
      <c r="A142" s="259" t="s">
        <v>764</v>
      </c>
      <c r="B142" s="123">
        <f t="shared" si="34"/>
        <v>7.5161100233272613</v>
      </c>
      <c r="C142" s="284">
        <f>IF(AND($B$42=$V$16,$B$44=3),0,10)</f>
        <v>10</v>
      </c>
      <c r="D142" s="299">
        <v>8.9</v>
      </c>
      <c r="E142" s="252">
        <f t="shared" si="35"/>
        <v>11.50995608863137</v>
      </c>
      <c r="F142" s="300">
        <f t="shared" ref="F142:F145" si="42">MIN(B142,E142)</f>
        <v>7.5161100233272613</v>
      </c>
      <c r="G142" s="90"/>
      <c r="O142" s="259" t="s">
        <v>764</v>
      </c>
      <c r="P142" s="81">
        <f t="shared" si="41"/>
        <v>3.4689738569202739</v>
      </c>
      <c r="Q142" s="81">
        <f t="shared" si="41"/>
        <v>4.0471361664069869</v>
      </c>
      <c r="R142" s="81">
        <f t="shared" si="41"/>
        <v>4.6252984758936995</v>
      </c>
      <c r="S142" s="81">
        <f t="shared" si="41"/>
        <v>5.203460785380412</v>
      </c>
      <c r="T142" s="81">
        <f t="shared" si="41"/>
        <v>5.7816230948671237</v>
      </c>
    </row>
    <row r="143" spans="1:20" ht="45">
      <c r="A143" s="62" t="s">
        <v>765</v>
      </c>
      <c r="B143" s="123">
        <f t="shared" si="34"/>
        <v>8.938484631166375</v>
      </c>
      <c r="C143" s="284">
        <f t="shared" ref="C143:C145" si="43">IF(AND($B$42=$V$16,$B$44=3),0,10)</f>
        <v>10</v>
      </c>
      <c r="D143" s="299">
        <v>13.9</v>
      </c>
      <c r="E143" s="252">
        <f t="shared" si="35"/>
        <v>14.111381581892433</v>
      </c>
      <c r="F143" s="300">
        <f t="shared" si="42"/>
        <v>8.938484631166375</v>
      </c>
      <c r="G143" s="90"/>
      <c r="O143" s="62" t="s">
        <v>765</v>
      </c>
      <c r="P143" s="81">
        <f t="shared" si="41"/>
        <v>4.1254544451537116</v>
      </c>
      <c r="Q143" s="81">
        <f t="shared" si="41"/>
        <v>4.8130301860126625</v>
      </c>
      <c r="R143" s="81">
        <f t="shared" si="41"/>
        <v>5.5006059268716152</v>
      </c>
      <c r="S143" s="81">
        <f t="shared" si="41"/>
        <v>6.1881816677305679</v>
      </c>
      <c r="T143" s="81">
        <f t="shared" si="41"/>
        <v>6.8757574085895188</v>
      </c>
    </row>
    <row r="144" spans="1:20" ht="45">
      <c r="A144" s="62" t="s">
        <v>766</v>
      </c>
      <c r="B144" s="123">
        <f t="shared" si="34"/>
        <v>8.938484631166375</v>
      </c>
      <c r="C144" s="284">
        <f t="shared" si="43"/>
        <v>10</v>
      </c>
      <c r="D144" s="299">
        <v>17.3</v>
      </c>
      <c r="E144" s="252">
        <f t="shared" si="35"/>
        <v>14.258196699657278</v>
      </c>
      <c r="F144" s="300">
        <f t="shared" si="42"/>
        <v>8.938484631166375</v>
      </c>
      <c r="G144" s="90"/>
      <c r="O144" s="62" t="s">
        <v>766</v>
      </c>
      <c r="P144" s="81">
        <f t="shared" si="41"/>
        <v>4.1254544451537116</v>
      </c>
      <c r="Q144" s="81">
        <f t="shared" si="41"/>
        <v>4.8130301860126625</v>
      </c>
      <c r="R144" s="81">
        <f t="shared" si="41"/>
        <v>5.5006059268716152</v>
      </c>
      <c r="S144" s="81">
        <f t="shared" si="41"/>
        <v>6.1881816677305679</v>
      </c>
      <c r="T144" s="81">
        <f t="shared" si="41"/>
        <v>6.8757574085895188</v>
      </c>
    </row>
    <row r="145" spans="1:20" ht="45.75" thickBot="1">
      <c r="A145" s="283" t="s">
        <v>767</v>
      </c>
      <c r="B145" s="123">
        <f t="shared" si="34"/>
        <v>10.360859239005489</v>
      </c>
      <c r="C145" s="284">
        <f t="shared" si="43"/>
        <v>10</v>
      </c>
      <c r="D145" s="299">
        <v>23.8</v>
      </c>
      <c r="E145" s="252">
        <f t="shared" si="35"/>
        <v>16.747120820600049</v>
      </c>
      <c r="F145" s="300">
        <f t="shared" si="42"/>
        <v>10.360859239005489</v>
      </c>
      <c r="G145" s="90"/>
      <c r="O145" s="283" t="s">
        <v>767</v>
      </c>
      <c r="P145" s="235">
        <f t="shared" si="41"/>
        <v>4.7819350333871489</v>
      </c>
      <c r="Q145" s="235">
        <f t="shared" si="41"/>
        <v>5.578924205618339</v>
      </c>
      <c r="R145" s="235">
        <f t="shared" si="41"/>
        <v>6.3759133778495309</v>
      </c>
      <c r="S145" s="235">
        <f t="shared" si="41"/>
        <v>7.1729025500807229</v>
      </c>
      <c r="T145" s="235">
        <f t="shared" si="41"/>
        <v>7.9698917223119139</v>
      </c>
    </row>
    <row r="146" spans="1:20" ht="45.75" thickTop="1">
      <c r="A146" s="259" t="s">
        <v>380</v>
      </c>
      <c r="B146" s="123">
        <f t="shared" si="34"/>
        <v>5.0646478158177981</v>
      </c>
      <c r="C146" s="284">
        <f>IF(AND($B$42=$V$16,$B$44=3),0,3.7)</f>
        <v>3.7</v>
      </c>
      <c r="D146" s="307">
        <v>4.46</v>
      </c>
      <c r="E146" s="308">
        <f t="shared" si="35"/>
        <v>6.5065185051879419</v>
      </c>
      <c r="F146" s="309">
        <f t="shared" si="39"/>
        <v>5.0646478158177981</v>
      </c>
      <c r="G146" s="90"/>
      <c r="O146" s="259" t="s">
        <v>380</v>
      </c>
      <c r="P146" s="236">
        <f t="shared" si="41"/>
        <v>2.3375297611466759</v>
      </c>
      <c r="Q146" s="236">
        <f t="shared" si="41"/>
        <v>2.7271180546711218</v>
      </c>
      <c r="R146" s="236">
        <f t="shared" si="41"/>
        <v>3.1167063481955686</v>
      </c>
      <c r="S146" s="236">
        <f t="shared" si="41"/>
        <v>3.5062946417200136</v>
      </c>
      <c r="T146" s="236">
        <f t="shared" si="41"/>
        <v>3.7</v>
      </c>
    </row>
    <row r="147" spans="1:20" ht="45">
      <c r="A147" s="259" t="s">
        <v>381</v>
      </c>
      <c r="B147" s="123">
        <f t="shared" si="34"/>
        <v>5.0646478158177981</v>
      </c>
      <c r="C147" s="284">
        <f>IF(AND($B$42=$V$16,$B$44=3),0,3.7)</f>
        <v>3.7</v>
      </c>
      <c r="D147" s="299">
        <v>4.33</v>
      </c>
      <c r="E147" s="252">
        <f t="shared" si="35"/>
        <v>6.4689784312230199</v>
      </c>
      <c r="F147" s="300">
        <f t="shared" si="39"/>
        <v>5.0646478158177981</v>
      </c>
      <c r="G147" s="90"/>
      <c r="O147" s="259" t="s">
        <v>381</v>
      </c>
      <c r="P147" s="81">
        <f t="shared" si="41"/>
        <v>2.3375297611466759</v>
      </c>
      <c r="Q147" s="81">
        <f t="shared" si="41"/>
        <v>2.7271180546711218</v>
      </c>
      <c r="R147" s="81">
        <f t="shared" si="41"/>
        <v>3.1167063481955686</v>
      </c>
      <c r="S147" s="81">
        <f t="shared" si="41"/>
        <v>3.5062946417200136</v>
      </c>
      <c r="T147" s="81">
        <f t="shared" si="41"/>
        <v>3.7</v>
      </c>
    </row>
    <row r="148" spans="1:20">
      <c r="A148" s="232" t="s">
        <v>318</v>
      </c>
      <c r="B148" s="13">
        <v>1.3</v>
      </c>
      <c r="C148" s="230">
        <v>1</v>
      </c>
      <c r="D148" s="92"/>
      <c r="E148" s="13">
        <v>1.3</v>
      </c>
    </row>
    <row r="149" spans="1:20">
      <c r="D149" s="92"/>
    </row>
    <row r="151" spans="1:20" ht="26.25">
      <c r="A151" s="1" t="s">
        <v>123</v>
      </c>
      <c r="P151"/>
      <c r="Q151"/>
      <c r="R151"/>
      <c r="S151"/>
    </row>
    <row r="152" spans="1:20">
      <c r="A152" s="21"/>
      <c r="B152" s="71"/>
    </row>
    <row r="153" spans="1:20" ht="18.75">
      <c r="A153" s="50" t="s">
        <v>76</v>
      </c>
      <c r="B153" s="71"/>
    </row>
    <row r="155" spans="1:20" ht="18">
      <c r="A155" s="733" t="s">
        <v>2</v>
      </c>
      <c r="B155" s="102" t="s">
        <v>320</v>
      </c>
      <c r="C155" s="102" t="s">
        <v>321</v>
      </c>
      <c r="D155" s="102" t="s">
        <v>320</v>
      </c>
      <c r="E155" s="102" t="s">
        <v>321</v>
      </c>
    </row>
    <row r="156" spans="1:20">
      <c r="A156" s="734"/>
      <c r="B156" s="44" t="s">
        <v>17</v>
      </c>
      <c r="C156" s="44" t="s">
        <v>17</v>
      </c>
      <c r="D156" s="44" t="s">
        <v>17</v>
      </c>
      <c r="E156" s="44" t="s">
        <v>17</v>
      </c>
    </row>
    <row r="157" spans="1:20">
      <c r="A157" s="735"/>
      <c r="B157" s="736" t="s">
        <v>322</v>
      </c>
      <c r="C157" s="737"/>
      <c r="D157" s="736" t="s">
        <v>323</v>
      </c>
      <c r="E157" s="737"/>
    </row>
    <row r="158" spans="1:20">
      <c r="A158" s="30" t="s">
        <v>324</v>
      </c>
      <c r="B158" s="140">
        <f>IF(AND($B$42=$V$16,$B$44=3),0,2.7)</f>
        <v>2.7</v>
      </c>
      <c r="C158" s="239">
        <f>B158/$B$163</f>
        <v>2.16</v>
      </c>
      <c r="D158" s="140">
        <f>B158*2</f>
        <v>5.4</v>
      </c>
      <c r="E158" s="239">
        <f>D158/$B$163</f>
        <v>4.32</v>
      </c>
    </row>
    <row r="159" spans="1:20">
      <c r="A159" s="30" t="s">
        <v>325</v>
      </c>
      <c r="B159" s="140">
        <f>IF(AND($B$42=$V$16,$B$44=3),0,1.9)</f>
        <v>1.9</v>
      </c>
      <c r="C159" s="239">
        <f t="shared" ref="C159:C162" si="44">B159/$B$163</f>
        <v>1.52</v>
      </c>
      <c r="D159" s="140">
        <f>B159*2</f>
        <v>3.8</v>
      </c>
      <c r="E159" s="239">
        <f t="shared" ref="E159:E162" si="45">D159/$B$163</f>
        <v>3.04</v>
      </c>
      <c r="G159" s="2"/>
    </row>
    <row r="160" spans="1:20">
      <c r="A160" s="30" t="s">
        <v>778</v>
      </c>
      <c r="B160" s="140">
        <v>1</v>
      </c>
      <c r="C160" s="239">
        <f t="shared" si="44"/>
        <v>0.8</v>
      </c>
      <c r="D160" s="140">
        <f>B160*2</f>
        <v>2</v>
      </c>
      <c r="E160" s="239">
        <f t="shared" si="45"/>
        <v>1.6</v>
      </c>
      <c r="F160" t="s">
        <v>779</v>
      </c>
    </row>
    <row r="161" spans="1:33" ht="15.75" thickBot="1">
      <c r="A161" s="30" t="s">
        <v>326</v>
      </c>
      <c r="B161" s="140">
        <f>IF(AND($B$42=$V$16,$B$44=3),0,1)</f>
        <v>1</v>
      </c>
      <c r="C161" s="239">
        <f t="shared" si="44"/>
        <v>0.8</v>
      </c>
      <c r="D161" s="140">
        <f>B161*2</f>
        <v>2</v>
      </c>
      <c r="E161" s="239">
        <f t="shared" si="45"/>
        <v>1.6</v>
      </c>
    </row>
    <row r="162" spans="1:33">
      <c r="A162" s="30" t="s">
        <v>327</v>
      </c>
      <c r="B162" s="140">
        <f>IF(AND($B$42=$V$16,$B$44=3),0,1)</f>
        <v>1</v>
      </c>
      <c r="C162" s="239">
        <f t="shared" si="44"/>
        <v>0.8</v>
      </c>
      <c r="D162" s="140">
        <f>B162*2</f>
        <v>2</v>
      </c>
      <c r="E162" s="239">
        <f t="shared" si="45"/>
        <v>1.6</v>
      </c>
      <c r="W162" s="457" t="s">
        <v>90</v>
      </c>
      <c r="X162" s="117"/>
      <c r="Y162" s="117"/>
      <c r="Z162" s="117"/>
      <c r="AA162" s="117"/>
      <c r="AB162" s="22"/>
      <c r="AC162" s="117" t="s">
        <v>91</v>
      </c>
      <c r="AD162" s="117"/>
      <c r="AE162" s="117"/>
      <c r="AF162" s="117"/>
      <c r="AG162" s="118"/>
    </row>
    <row r="163" spans="1:33" ht="18">
      <c r="A163" s="19" t="s">
        <v>328</v>
      </c>
      <c r="B163" s="49">
        <v>1.25</v>
      </c>
      <c r="C163" s="49"/>
      <c r="W163" s="23"/>
      <c r="X163" s="24">
        <v>0.6</v>
      </c>
      <c r="Y163" s="24">
        <v>0.7</v>
      </c>
      <c r="Z163" s="24">
        <v>0.8</v>
      </c>
      <c r="AA163" s="24">
        <v>0.9</v>
      </c>
      <c r="AB163" s="25"/>
      <c r="AC163" s="25"/>
      <c r="AD163" s="24">
        <v>0.6</v>
      </c>
      <c r="AE163" s="24">
        <v>0.7</v>
      </c>
      <c r="AF163" s="24">
        <v>0.8</v>
      </c>
      <c r="AG163" s="26">
        <v>0.9</v>
      </c>
    </row>
    <row r="164" spans="1:33">
      <c r="P164" s="105"/>
      <c r="Q164" s="105"/>
      <c r="R164" s="105"/>
      <c r="S164" s="105"/>
      <c r="W164" s="23">
        <v>380</v>
      </c>
      <c r="X164" s="27">
        <v>2.9766333046153846</v>
      </c>
      <c r="Y164" s="27">
        <v>3.4727388553846152</v>
      </c>
      <c r="Z164" s="27">
        <v>3.9688444061538473</v>
      </c>
      <c r="AA164" s="27">
        <v>4</v>
      </c>
      <c r="AB164" s="25"/>
      <c r="AC164" s="25">
        <v>380</v>
      </c>
      <c r="AD164" s="27">
        <v>3.5564969353846152</v>
      </c>
      <c r="AE164" s="27">
        <v>4</v>
      </c>
      <c r="AF164" s="27">
        <v>4</v>
      </c>
      <c r="AG164" s="28">
        <v>4</v>
      </c>
    </row>
    <row r="166" spans="1:33" ht="26.25">
      <c r="A166" s="1" t="s">
        <v>149</v>
      </c>
    </row>
    <row r="167" spans="1:33" ht="23.25">
      <c r="A167" s="1"/>
    </row>
    <row r="168" spans="1:33">
      <c r="A168" s="21"/>
      <c r="B168" s="71"/>
    </row>
    <row r="169" spans="1:33" ht="18.75">
      <c r="A169" s="50" t="s">
        <v>76</v>
      </c>
      <c r="B169" s="71"/>
    </row>
    <row r="171" spans="1:33">
      <c r="A171" s="19" t="s">
        <v>35</v>
      </c>
      <c r="B171" s="20" t="str">
        <f>RICON!E52</f>
        <v>GL24h</v>
      </c>
    </row>
    <row r="172" spans="1:33" ht="18">
      <c r="A172" s="21" t="s">
        <v>37</v>
      </c>
      <c r="B172">
        <f>VLOOKUP(B171,V5:W16,2,FALSE)</f>
        <v>385</v>
      </c>
      <c r="C172" t="s">
        <v>38</v>
      </c>
    </row>
    <row r="173" spans="1:33" ht="18">
      <c r="A173" s="21" t="s">
        <v>59</v>
      </c>
      <c r="B173" s="234">
        <v>15000</v>
      </c>
      <c r="C173" s="234">
        <v>4400</v>
      </c>
      <c r="D173" t="s">
        <v>60</v>
      </c>
    </row>
    <row r="174" spans="1:33">
      <c r="A174" s="21" t="s">
        <v>61</v>
      </c>
      <c r="B174" s="49">
        <v>8</v>
      </c>
      <c r="C174" s="49">
        <v>5</v>
      </c>
      <c r="D174" t="s">
        <v>62</v>
      </c>
    </row>
    <row r="175" spans="1:33" ht="18">
      <c r="A175" s="21" t="s">
        <v>63</v>
      </c>
      <c r="B175" s="93">
        <f>0.033*$B$172*B174^-0.3</f>
        <v>6.808440920761802</v>
      </c>
      <c r="C175" s="93">
        <f>0.033*$B$172*C174^-0.3</f>
        <v>7.8394152258577217</v>
      </c>
      <c r="D175" t="s">
        <v>64</v>
      </c>
    </row>
    <row r="176" spans="1:33" ht="18">
      <c r="A176" s="21" t="s">
        <v>65</v>
      </c>
      <c r="B176" s="70">
        <f>0.082*B174^-0.3*$B$172</f>
        <v>16.917944106135387</v>
      </c>
      <c r="C176" s="70">
        <f>0.082*C174^-0.3*$B$172</f>
        <v>19.479759046070704</v>
      </c>
      <c r="D176" t="s">
        <v>64</v>
      </c>
    </row>
    <row r="177" spans="1:19" ht="33">
      <c r="A177" s="134" t="s">
        <v>163</v>
      </c>
      <c r="B177" s="70">
        <v>4</v>
      </c>
      <c r="C177" s="49" t="s">
        <v>164</v>
      </c>
      <c r="R177"/>
      <c r="S177"/>
    </row>
    <row r="178" spans="1:19">
      <c r="A178" s="21"/>
      <c r="B178" s="71"/>
      <c r="R178"/>
      <c r="S178"/>
    </row>
    <row r="179" spans="1:19" ht="18">
      <c r="A179" s="3" t="s">
        <v>2</v>
      </c>
      <c r="B179" s="4" t="s">
        <v>41</v>
      </c>
      <c r="C179" s="4" t="s">
        <v>9</v>
      </c>
      <c r="D179" s="4" t="s">
        <v>42</v>
      </c>
      <c r="E179" s="4" t="s">
        <v>56</v>
      </c>
      <c r="F179" s="4" t="s">
        <v>57</v>
      </c>
      <c r="G179" s="4" t="s">
        <v>41</v>
      </c>
      <c r="H179" s="4" t="s">
        <v>9</v>
      </c>
      <c r="I179" s="4" t="s">
        <v>42</v>
      </c>
      <c r="J179" s="4" t="s">
        <v>56</v>
      </c>
      <c r="K179" s="4" t="s">
        <v>57</v>
      </c>
      <c r="L179" s="4" t="s">
        <v>165</v>
      </c>
      <c r="R179"/>
      <c r="S179"/>
    </row>
    <row r="180" spans="1:19">
      <c r="A180" s="7"/>
      <c r="B180" s="8" t="s">
        <v>19</v>
      </c>
      <c r="C180" s="8" t="s">
        <v>18</v>
      </c>
      <c r="D180" s="8" t="s">
        <v>18</v>
      </c>
      <c r="E180" s="8" t="s">
        <v>17</v>
      </c>
      <c r="F180" s="8" t="s">
        <v>17</v>
      </c>
      <c r="G180" s="8" t="s">
        <v>19</v>
      </c>
      <c r="H180" s="8" t="s">
        <v>18</v>
      </c>
      <c r="I180" s="8" t="s">
        <v>18</v>
      </c>
      <c r="J180" s="8" t="s">
        <v>17</v>
      </c>
      <c r="K180" s="8" t="s">
        <v>17</v>
      </c>
      <c r="L180" s="56" t="s">
        <v>17</v>
      </c>
      <c r="R180"/>
      <c r="S180"/>
    </row>
    <row r="181" spans="1:19" ht="45">
      <c r="A181" s="62" t="s">
        <v>882</v>
      </c>
      <c r="B181" s="8"/>
      <c r="C181" s="8"/>
      <c r="D181" s="8"/>
      <c r="E181" s="8"/>
      <c r="F181" s="8"/>
      <c r="G181" s="213">
        <v>4</v>
      </c>
      <c r="H181" s="213">
        <v>5</v>
      </c>
      <c r="I181" s="255">
        <v>70</v>
      </c>
      <c r="J181" s="292">
        <f>(E210*0.52*SQRT(H181)*I181^0.9*B172^0.8)/1000</f>
        <v>1.8688154683555778</v>
      </c>
      <c r="K181" s="292">
        <f>MIN(C175*I181*C174/1000,(2.3*SQRT(C173*C175*C174))/1000+(J181/4),C175*I181*C175*(SQRT(2+4*C173/(C175*I181^2*C174))-1)/1000+J181/4)</f>
        <v>1.4223746078391131</v>
      </c>
      <c r="L181" s="292">
        <f>+G181*K181</f>
        <v>5.6894984313564523</v>
      </c>
      <c r="R181"/>
      <c r="S181"/>
    </row>
    <row r="182" spans="1:19" ht="45">
      <c r="A182" s="62" t="s">
        <v>358</v>
      </c>
      <c r="B182" s="57">
        <v>1</v>
      </c>
      <c r="C182" s="57">
        <v>8</v>
      </c>
      <c r="D182" s="212">
        <v>65</v>
      </c>
      <c r="E182" s="78">
        <f t="shared" ref="E182:E209" si="46">($E$210*0.52*SQRT($C182)*D182^0.9*$B$172^0.8)/1000</f>
        <v>2.2113638026311735</v>
      </c>
      <c r="F182" s="78">
        <f t="shared" ref="F182:F207" si="47">MIN(2.3*SQRT($B$173*$B$175*$B$174)/1000+(E182/4),$B$174*$B$175*D182/1000,$B$174*$B$175*D182/1000*(SQRT(2+4*$B$173/($B$174*$B$175*D182^2))-1)+E182/4)</f>
        <v>2.3356804038245178</v>
      </c>
      <c r="G182" s="57">
        <v>2</v>
      </c>
      <c r="H182" s="57">
        <v>5</v>
      </c>
      <c r="I182" s="212">
        <v>70</v>
      </c>
      <c r="J182" s="688" t="s">
        <v>166</v>
      </c>
      <c r="K182" s="689"/>
      <c r="L182" s="690"/>
      <c r="R182"/>
      <c r="S182"/>
    </row>
    <row r="183" spans="1:19" ht="45">
      <c r="A183" s="62" t="s">
        <v>359</v>
      </c>
      <c r="B183" s="57">
        <v>2</v>
      </c>
      <c r="C183" s="57">
        <v>8</v>
      </c>
      <c r="D183" s="212">
        <v>65</v>
      </c>
      <c r="E183" s="78">
        <f t="shared" si="46"/>
        <v>2.2113638026311735</v>
      </c>
      <c r="F183" s="78">
        <f t="shared" si="47"/>
        <v>2.3356804038245178</v>
      </c>
      <c r="G183" s="57">
        <v>2</v>
      </c>
      <c r="H183" s="57">
        <v>5</v>
      </c>
      <c r="I183" s="212">
        <v>70</v>
      </c>
      <c r="J183" s="691"/>
      <c r="K183" s="692"/>
      <c r="L183" s="693"/>
      <c r="R183"/>
      <c r="S183"/>
    </row>
    <row r="184" spans="1:19" ht="45">
      <c r="A184" s="62" t="s">
        <v>360</v>
      </c>
      <c r="B184" s="57">
        <v>2</v>
      </c>
      <c r="C184" s="57">
        <v>8</v>
      </c>
      <c r="D184" s="212">
        <v>65</v>
      </c>
      <c r="E184" s="78">
        <f t="shared" si="46"/>
        <v>2.2113638026311735</v>
      </c>
      <c r="F184" s="78">
        <f t="shared" si="47"/>
        <v>2.3356804038245178</v>
      </c>
      <c r="G184" s="57">
        <v>4</v>
      </c>
      <c r="H184" s="57">
        <v>5</v>
      </c>
      <c r="I184" s="212">
        <v>70</v>
      </c>
      <c r="J184" s="691"/>
      <c r="K184" s="692"/>
      <c r="L184" s="693"/>
      <c r="R184"/>
      <c r="S184"/>
    </row>
    <row r="185" spans="1:19" ht="45">
      <c r="A185" s="62" t="s">
        <v>361</v>
      </c>
      <c r="B185" s="57">
        <v>2</v>
      </c>
      <c r="C185" s="57">
        <v>8</v>
      </c>
      <c r="D185" s="212">
        <v>65</v>
      </c>
      <c r="E185" s="78">
        <f t="shared" si="46"/>
        <v>2.2113638026311735</v>
      </c>
      <c r="F185" s="78">
        <f t="shared" si="47"/>
        <v>2.3356804038245178</v>
      </c>
      <c r="G185" s="57">
        <v>6</v>
      </c>
      <c r="H185" s="57">
        <v>5</v>
      </c>
      <c r="I185" s="212">
        <v>70</v>
      </c>
      <c r="J185" s="691"/>
      <c r="K185" s="692"/>
      <c r="L185" s="693"/>
      <c r="R185"/>
      <c r="S185"/>
    </row>
    <row r="186" spans="1:19" ht="45">
      <c r="A186" s="62" t="s">
        <v>362</v>
      </c>
      <c r="B186" s="57">
        <v>2</v>
      </c>
      <c r="C186" s="57">
        <v>8</v>
      </c>
      <c r="D186" s="212">
        <v>65</v>
      </c>
      <c r="E186" s="78">
        <f t="shared" si="46"/>
        <v>2.2113638026311735</v>
      </c>
      <c r="F186" s="78">
        <f t="shared" si="47"/>
        <v>2.3356804038245178</v>
      </c>
      <c r="G186" s="57">
        <v>8</v>
      </c>
      <c r="H186" s="57">
        <v>5</v>
      </c>
      <c r="I186" s="212">
        <v>70</v>
      </c>
      <c r="J186" s="691"/>
      <c r="K186" s="692"/>
      <c r="L186" s="693"/>
      <c r="R186"/>
      <c r="S186"/>
    </row>
    <row r="187" spans="1:19" ht="45">
      <c r="A187" s="62" t="s">
        <v>363</v>
      </c>
      <c r="B187" s="57">
        <v>2</v>
      </c>
      <c r="C187" s="57">
        <v>8</v>
      </c>
      <c r="D187" s="212">
        <v>65</v>
      </c>
      <c r="E187" s="78">
        <f t="shared" si="46"/>
        <v>2.2113638026311735</v>
      </c>
      <c r="F187" s="78">
        <f t="shared" si="47"/>
        <v>2.3356804038245178</v>
      </c>
      <c r="G187" s="57">
        <v>10</v>
      </c>
      <c r="H187" s="57">
        <v>5</v>
      </c>
      <c r="I187" s="212">
        <v>70</v>
      </c>
      <c r="J187" s="691"/>
      <c r="K187" s="692"/>
      <c r="L187" s="693"/>
      <c r="R187"/>
      <c r="S187"/>
    </row>
    <row r="188" spans="1:19" ht="45">
      <c r="A188" s="62" t="s">
        <v>364</v>
      </c>
      <c r="B188" s="57">
        <v>3</v>
      </c>
      <c r="C188" s="57">
        <v>8</v>
      </c>
      <c r="D188" s="212">
        <v>65</v>
      </c>
      <c r="E188" s="78">
        <f t="shared" si="46"/>
        <v>2.2113638026311735</v>
      </c>
      <c r="F188" s="78">
        <f t="shared" si="47"/>
        <v>2.3356804038245178</v>
      </c>
      <c r="G188" s="57">
        <v>4</v>
      </c>
      <c r="H188" s="57">
        <v>5</v>
      </c>
      <c r="I188" s="212">
        <v>70</v>
      </c>
      <c r="J188" s="691"/>
      <c r="K188" s="692"/>
      <c r="L188" s="693"/>
      <c r="R188"/>
      <c r="S188"/>
    </row>
    <row r="189" spans="1:19" ht="45">
      <c r="A189" s="62" t="s">
        <v>365</v>
      </c>
      <c r="B189" s="57">
        <v>3</v>
      </c>
      <c r="C189" s="57">
        <v>8</v>
      </c>
      <c r="D189" s="212">
        <v>65</v>
      </c>
      <c r="E189" s="78">
        <f t="shared" si="46"/>
        <v>2.2113638026311735</v>
      </c>
      <c r="F189" s="78">
        <f t="shared" si="47"/>
        <v>2.3356804038245178</v>
      </c>
      <c r="G189" s="57">
        <v>8</v>
      </c>
      <c r="H189" s="57">
        <v>5</v>
      </c>
      <c r="I189" s="212">
        <v>70</v>
      </c>
      <c r="J189" s="691"/>
      <c r="K189" s="692"/>
      <c r="L189" s="693"/>
      <c r="R189"/>
      <c r="S189"/>
    </row>
    <row r="190" spans="1:19" ht="45">
      <c r="A190" s="62" t="s">
        <v>366</v>
      </c>
      <c r="B190" s="57">
        <v>3</v>
      </c>
      <c r="C190" s="57">
        <v>8</v>
      </c>
      <c r="D190" s="212">
        <v>65</v>
      </c>
      <c r="E190" s="78">
        <f t="shared" si="46"/>
        <v>2.2113638026311735</v>
      </c>
      <c r="F190" s="78">
        <f t="shared" si="47"/>
        <v>2.3356804038245178</v>
      </c>
      <c r="G190" s="57">
        <v>12</v>
      </c>
      <c r="H190" s="57">
        <v>5</v>
      </c>
      <c r="I190" s="212">
        <v>70</v>
      </c>
      <c r="J190" s="691"/>
      <c r="K190" s="692"/>
      <c r="L190" s="693"/>
      <c r="P190" s="2" t="s">
        <v>169</v>
      </c>
      <c r="Q190" s="2" t="s">
        <v>170</v>
      </c>
      <c r="R190"/>
      <c r="S190"/>
    </row>
    <row r="191" spans="1:19" ht="45">
      <c r="A191" s="62" t="s">
        <v>367</v>
      </c>
      <c r="B191" s="57">
        <v>3</v>
      </c>
      <c r="C191" s="57">
        <v>8</v>
      </c>
      <c r="D191" s="212">
        <v>65</v>
      </c>
      <c r="E191" s="78">
        <f t="shared" si="46"/>
        <v>2.2113638026311735</v>
      </c>
      <c r="F191" s="78">
        <f t="shared" si="47"/>
        <v>2.3356804038245178</v>
      </c>
      <c r="G191" s="57">
        <v>12</v>
      </c>
      <c r="H191" s="57">
        <v>5</v>
      </c>
      <c r="I191" s="212">
        <v>70</v>
      </c>
      <c r="J191" s="691"/>
      <c r="K191" s="692"/>
      <c r="L191" s="693"/>
      <c r="R191"/>
      <c r="S191"/>
    </row>
    <row r="192" spans="1:19" ht="45.75" thickBot="1">
      <c r="A192" s="283" t="s">
        <v>368</v>
      </c>
      <c r="B192" s="287">
        <v>3</v>
      </c>
      <c r="C192" s="287">
        <v>8</v>
      </c>
      <c r="D192" s="286">
        <v>65</v>
      </c>
      <c r="E192" s="312">
        <f t="shared" si="46"/>
        <v>2.2113638026311735</v>
      </c>
      <c r="F192" s="312">
        <f t="shared" si="47"/>
        <v>2.3356804038245178</v>
      </c>
      <c r="G192" s="287">
        <v>12</v>
      </c>
      <c r="H192" s="287">
        <v>5</v>
      </c>
      <c r="I192" s="286">
        <v>70</v>
      </c>
      <c r="J192" s="744"/>
      <c r="K192" s="745"/>
      <c r="L192" s="746"/>
      <c r="R192"/>
      <c r="S192"/>
    </row>
    <row r="193" spans="1:19" ht="45.75" thickTop="1">
      <c r="A193" s="259" t="s">
        <v>369</v>
      </c>
      <c r="B193" s="313">
        <v>1</v>
      </c>
      <c r="C193" s="313">
        <v>8</v>
      </c>
      <c r="D193" s="314">
        <v>65</v>
      </c>
      <c r="E193" s="78">
        <f t="shared" si="46"/>
        <v>2.2113638026311735</v>
      </c>
      <c r="F193" s="315">
        <f t="shared" si="47"/>
        <v>2.3356804038245178</v>
      </c>
      <c r="G193" s="313">
        <v>2</v>
      </c>
      <c r="H193" s="313">
        <v>5</v>
      </c>
      <c r="I193" s="314">
        <v>70</v>
      </c>
      <c r="J193" s="747" t="s">
        <v>166</v>
      </c>
      <c r="K193" s="748"/>
      <c r="L193" s="749"/>
      <c r="R193"/>
      <c r="S193"/>
    </row>
    <row r="194" spans="1:19" ht="45">
      <c r="A194" s="62" t="s">
        <v>370</v>
      </c>
      <c r="B194" s="57">
        <v>2</v>
      </c>
      <c r="C194" s="57">
        <v>8</v>
      </c>
      <c r="D194" s="212">
        <v>65</v>
      </c>
      <c r="E194" s="78">
        <f t="shared" si="46"/>
        <v>2.2113638026311735</v>
      </c>
      <c r="F194" s="78">
        <f t="shared" si="47"/>
        <v>2.3356804038245178</v>
      </c>
      <c r="G194" s="57">
        <v>2</v>
      </c>
      <c r="H194" s="57">
        <v>5</v>
      </c>
      <c r="I194" s="212">
        <v>70</v>
      </c>
      <c r="J194" s="691"/>
      <c r="K194" s="692"/>
      <c r="L194" s="693"/>
      <c r="R194"/>
      <c r="S194"/>
    </row>
    <row r="195" spans="1:19" ht="45">
      <c r="A195" s="62" t="s">
        <v>371</v>
      </c>
      <c r="B195" s="57">
        <v>2</v>
      </c>
      <c r="C195" s="57">
        <v>8</v>
      </c>
      <c r="D195" s="212">
        <v>65</v>
      </c>
      <c r="E195" s="78">
        <f t="shared" si="46"/>
        <v>2.2113638026311735</v>
      </c>
      <c r="F195" s="78">
        <f t="shared" si="47"/>
        <v>2.3356804038245178</v>
      </c>
      <c r="G195" s="57">
        <v>4</v>
      </c>
      <c r="H195" s="57">
        <v>5</v>
      </c>
      <c r="I195" s="212">
        <v>70</v>
      </c>
      <c r="J195" s="691"/>
      <c r="K195" s="692"/>
      <c r="L195" s="693"/>
      <c r="R195"/>
      <c r="S195"/>
    </row>
    <row r="196" spans="1:19" ht="45">
      <c r="A196" s="62" t="s">
        <v>372</v>
      </c>
      <c r="B196" s="57">
        <v>2</v>
      </c>
      <c r="C196" s="57">
        <v>8</v>
      </c>
      <c r="D196" s="212">
        <v>65</v>
      </c>
      <c r="E196" s="78">
        <f t="shared" si="46"/>
        <v>2.2113638026311735</v>
      </c>
      <c r="F196" s="78">
        <f t="shared" si="47"/>
        <v>2.3356804038245178</v>
      </c>
      <c r="G196" s="57">
        <v>6</v>
      </c>
      <c r="H196" s="57">
        <v>5</v>
      </c>
      <c r="I196" s="212">
        <v>70</v>
      </c>
      <c r="J196" s="691"/>
      <c r="K196" s="692"/>
      <c r="L196" s="693"/>
      <c r="R196"/>
      <c r="S196"/>
    </row>
    <row r="197" spans="1:19" ht="45">
      <c r="A197" s="62" t="s">
        <v>373</v>
      </c>
      <c r="B197" s="57">
        <v>2</v>
      </c>
      <c r="C197" s="57">
        <v>8</v>
      </c>
      <c r="D197" s="212">
        <v>65</v>
      </c>
      <c r="E197" s="78">
        <f t="shared" si="46"/>
        <v>2.2113638026311735</v>
      </c>
      <c r="F197" s="78">
        <f t="shared" si="47"/>
        <v>2.3356804038245178</v>
      </c>
      <c r="G197" s="57">
        <v>8</v>
      </c>
      <c r="H197" s="57">
        <v>5</v>
      </c>
      <c r="I197" s="212">
        <v>70</v>
      </c>
      <c r="J197" s="691"/>
      <c r="K197" s="692"/>
      <c r="L197" s="693"/>
      <c r="R197"/>
      <c r="S197"/>
    </row>
    <row r="198" spans="1:19" ht="45">
      <c r="A198" s="62" t="s">
        <v>374</v>
      </c>
      <c r="B198" s="57">
        <v>2</v>
      </c>
      <c r="C198" s="57">
        <v>8</v>
      </c>
      <c r="D198" s="212">
        <v>65</v>
      </c>
      <c r="E198" s="78">
        <f t="shared" si="46"/>
        <v>2.2113638026311735</v>
      </c>
      <c r="F198" s="78">
        <f t="shared" si="47"/>
        <v>2.3356804038245178</v>
      </c>
      <c r="G198" s="57">
        <v>10</v>
      </c>
      <c r="H198" s="57">
        <v>5</v>
      </c>
      <c r="I198" s="212">
        <v>70</v>
      </c>
      <c r="J198" s="691"/>
      <c r="K198" s="692"/>
      <c r="L198" s="693"/>
      <c r="R198"/>
      <c r="S198"/>
    </row>
    <row r="199" spans="1:19" ht="45">
      <c r="A199" s="62" t="s">
        <v>375</v>
      </c>
      <c r="B199" s="57">
        <v>3</v>
      </c>
      <c r="C199" s="57">
        <v>8</v>
      </c>
      <c r="D199" s="212">
        <v>65</v>
      </c>
      <c r="E199" s="78">
        <f t="shared" si="46"/>
        <v>2.2113638026311735</v>
      </c>
      <c r="F199" s="78">
        <f t="shared" si="47"/>
        <v>2.3356804038245178</v>
      </c>
      <c r="G199" s="57">
        <v>4</v>
      </c>
      <c r="H199" s="57">
        <v>5</v>
      </c>
      <c r="I199" s="212">
        <v>70</v>
      </c>
      <c r="J199" s="691"/>
      <c r="K199" s="692"/>
      <c r="L199" s="693"/>
      <c r="R199"/>
      <c r="S199"/>
    </row>
    <row r="200" spans="1:19" ht="45">
      <c r="A200" s="62" t="s">
        <v>376</v>
      </c>
      <c r="B200" s="57">
        <v>3</v>
      </c>
      <c r="C200" s="57">
        <v>8</v>
      </c>
      <c r="D200" s="212">
        <v>65</v>
      </c>
      <c r="E200" s="78">
        <f t="shared" si="46"/>
        <v>2.2113638026311735</v>
      </c>
      <c r="F200" s="78">
        <f t="shared" si="47"/>
        <v>2.3356804038245178</v>
      </c>
      <c r="G200" s="57">
        <v>8</v>
      </c>
      <c r="H200" s="57">
        <v>5</v>
      </c>
      <c r="I200" s="212">
        <v>70</v>
      </c>
      <c r="J200" s="691"/>
      <c r="K200" s="692"/>
      <c r="L200" s="693"/>
      <c r="R200"/>
      <c r="S200"/>
    </row>
    <row r="201" spans="1:19" ht="45">
      <c r="A201" s="62" t="s">
        <v>377</v>
      </c>
      <c r="B201" s="57">
        <v>3</v>
      </c>
      <c r="C201" s="57">
        <v>8</v>
      </c>
      <c r="D201" s="212">
        <v>65</v>
      </c>
      <c r="E201" s="78">
        <f t="shared" si="46"/>
        <v>2.2113638026311735</v>
      </c>
      <c r="F201" s="78">
        <f t="shared" si="47"/>
        <v>2.3356804038245178</v>
      </c>
      <c r="G201" s="57">
        <v>12</v>
      </c>
      <c r="H201" s="57">
        <v>5</v>
      </c>
      <c r="I201" s="212">
        <v>70</v>
      </c>
      <c r="J201" s="691"/>
      <c r="K201" s="692"/>
      <c r="L201" s="693"/>
      <c r="R201"/>
      <c r="S201"/>
    </row>
    <row r="202" spans="1:19" ht="45">
      <c r="A202" s="62" t="s">
        <v>378</v>
      </c>
      <c r="B202" s="57">
        <v>3</v>
      </c>
      <c r="C202" s="57">
        <v>8</v>
      </c>
      <c r="D202" s="212">
        <v>65</v>
      </c>
      <c r="E202" s="78">
        <f t="shared" si="46"/>
        <v>2.2113638026311735</v>
      </c>
      <c r="F202" s="78">
        <f t="shared" si="47"/>
        <v>2.3356804038245178</v>
      </c>
      <c r="G202" s="57">
        <v>12</v>
      </c>
      <c r="H202" s="57">
        <v>5</v>
      </c>
      <c r="I202" s="212">
        <v>70</v>
      </c>
      <c r="J202" s="691"/>
      <c r="K202" s="692"/>
      <c r="L202" s="693"/>
      <c r="R202"/>
      <c r="S202"/>
    </row>
    <row r="203" spans="1:19" ht="45.75" thickBot="1">
      <c r="A203" s="283" t="s">
        <v>379</v>
      </c>
      <c r="B203" s="287">
        <v>3</v>
      </c>
      <c r="C203" s="287">
        <v>8</v>
      </c>
      <c r="D203" s="286">
        <v>65</v>
      </c>
      <c r="E203" s="312">
        <f t="shared" si="46"/>
        <v>2.2113638026311735</v>
      </c>
      <c r="F203" s="312">
        <f t="shared" si="47"/>
        <v>2.3356804038245178</v>
      </c>
      <c r="G203" s="287">
        <v>12</v>
      </c>
      <c r="H203" s="287">
        <v>5</v>
      </c>
      <c r="I203" s="286">
        <v>70</v>
      </c>
      <c r="J203" s="744"/>
      <c r="K203" s="745"/>
      <c r="L203" s="746"/>
      <c r="R203"/>
      <c r="S203"/>
    </row>
    <row r="204" spans="1:19" ht="45.75" thickTop="1">
      <c r="A204" s="259" t="s">
        <v>764</v>
      </c>
      <c r="B204" s="57">
        <v>2</v>
      </c>
      <c r="C204" s="57">
        <v>8</v>
      </c>
      <c r="D204" s="212">
        <v>65</v>
      </c>
      <c r="E204" s="78">
        <f t="shared" si="46"/>
        <v>2.2113638026311735</v>
      </c>
      <c r="F204" s="78">
        <f>MIN(2.3*SQRT($B$173*$B$175*$B$174)/1000+(E204/4),$B$174*$B$175*D204/1000,$B$174*$B$175*D204/1000*(SQRT(2+4*$B$173/($B$174*$B$175*D204^2))-1)+E204/4)</f>
        <v>2.3356804038245178</v>
      </c>
      <c r="G204" s="57">
        <v>2</v>
      </c>
      <c r="H204" s="57">
        <v>5</v>
      </c>
      <c r="I204" s="212">
        <v>70</v>
      </c>
      <c r="J204" s="691" t="s">
        <v>166</v>
      </c>
      <c r="K204" s="692"/>
      <c r="L204" s="693"/>
      <c r="R204"/>
      <c r="S204"/>
    </row>
    <row r="205" spans="1:19" ht="45">
      <c r="A205" s="62" t="s">
        <v>765</v>
      </c>
      <c r="B205" s="57">
        <v>2</v>
      </c>
      <c r="C205" s="57">
        <v>8</v>
      </c>
      <c r="D205" s="212">
        <v>65</v>
      </c>
      <c r="E205" s="78">
        <f t="shared" si="46"/>
        <v>2.2113638026311735</v>
      </c>
      <c r="F205" s="78">
        <f t="shared" si="47"/>
        <v>2.3356804038245178</v>
      </c>
      <c r="G205" s="57">
        <v>3</v>
      </c>
      <c r="H205" s="57">
        <v>5</v>
      </c>
      <c r="I205" s="212">
        <v>70</v>
      </c>
      <c r="J205" s="691"/>
      <c r="K205" s="692"/>
      <c r="L205" s="693"/>
      <c r="R205"/>
      <c r="S205"/>
    </row>
    <row r="206" spans="1:19" ht="45">
      <c r="A206" s="62" t="s">
        <v>766</v>
      </c>
      <c r="B206" s="453">
        <v>2</v>
      </c>
      <c r="C206" s="453">
        <v>8</v>
      </c>
      <c r="D206" s="454">
        <v>65</v>
      </c>
      <c r="E206" s="452">
        <f t="shared" si="46"/>
        <v>2.2113638026311735</v>
      </c>
      <c r="F206" s="452">
        <f t="shared" si="47"/>
        <v>2.3356804038245178</v>
      </c>
      <c r="G206" s="453">
        <v>3</v>
      </c>
      <c r="H206" s="453">
        <v>5</v>
      </c>
      <c r="I206" s="454">
        <v>70</v>
      </c>
      <c r="J206" s="691"/>
      <c r="K206" s="692"/>
      <c r="L206" s="693"/>
      <c r="R206"/>
      <c r="S206"/>
    </row>
    <row r="207" spans="1:19" ht="45.75" thickBot="1">
      <c r="A207" s="283" t="s">
        <v>767</v>
      </c>
      <c r="B207" s="287">
        <v>2</v>
      </c>
      <c r="C207" s="287">
        <v>8</v>
      </c>
      <c r="D207" s="286">
        <v>65</v>
      </c>
      <c r="E207" s="312">
        <f t="shared" si="46"/>
        <v>2.2113638026311735</v>
      </c>
      <c r="F207" s="312">
        <f t="shared" si="47"/>
        <v>2.3356804038245178</v>
      </c>
      <c r="G207" s="287">
        <v>4</v>
      </c>
      <c r="H207" s="287">
        <v>5</v>
      </c>
      <c r="I207" s="286">
        <v>70</v>
      </c>
      <c r="J207" s="744"/>
      <c r="K207" s="745"/>
      <c r="L207" s="746"/>
      <c r="R207"/>
      <c r="S207"/>
    </row>
    <row r="208" spans="1:19" ht="45.75" thickTop="1">
      <c r="A208" s="259" t="s">
        <v>380</v>
      </c>
      <c r="B208" s="296">
        <v>1</v>
      </c>
      <c r="C208" s="296">
        <v>5</v>
      </c>
      <c r="D208" s="297">
        <v>65</v>
      </c>
      <c r="E208" s="322">
        <f t="shared" si="46"/>
        <v>1.7482365878913895</v>
      </c>
      <c r="F208" s="298">
        <f>MIN($B$47*$D208*$B$46/1000,(2.3*SQRT($B$45*$B$47*$B$46))/1000+(E208/4),$B$47*$D208*$B$46*(SQRT(2+4*$B$45/($B$47*$D208^2*$B$46))-1)/1000+E208/4)</f>
        <v>2.2198986001395715</v>
      </c>
      <c r="G208" s="296">
        <v>2</v>
      </c>
      <c r="H208" s="296">
        <v>5</v>
      </c>
      <c r="I208" s="297">
        <v>70</v>
      </c>
      <c r="J208" s="298">
        <f>(0.3*0.52*SQRT($H208)*I208^0.9*$B$43^0.8)/1000</f>
        <v>1.8688154683555778</v>
      </c>
      <c r="K208" s="298">
        <f>MIN($C$47*$I208*$C$46/1000,(2.3*SQRT($C$45*$C$47*$C$46))/1000+(J208/4),$C$47*$I208*$C$47*(SQRT(2+4*$C$45/($C$47*$I208^2*$C$46))-1)/1000+J208/4)</f>
        <v>1.4223746078391131</v>
      </c>
      <c r="L208" s="298">
        <f>B208*F208+G208*K208</f>
        <v>5.0646478158177981</v>
      </c>
      <c r="R208"/>
      <c r="S208"/>
    </row>
    <row r="209" spans="1:19" ht="45">
      <c r="A209" s="259" t="s">
        <v>381</v>
      </c>
      <c r="B209" s="213">
        <v>1</v>
      </c>
      <c r="C209" s="213">
        <v>5</v>
      </c>
      <c r="D209" s="255">
        <v>65</v>
      </c>
      <c r="E209" s="78">
        <f t="shared" si="46"/>
        <v>1.7482365878913895</v>
      </c>
      <c r="F209" s="292">
        <f>MIN($B$47*$D209*$B$46/1000,(2.3*SQRT($B$45*$B$47*$B$46))/1000+(E209/4),$B$47*$D209*$B$46*(SQRT(2+4*$B$45/($B$47*$D209^2*$B$46))-1)/1000+E209/4)</f>
        <v>2.2198986001395715</v>
      </c>
      <c r="G209" s="213">
        <v>2</v>
      </c>
      <c r="H209" s="213">
        <v>5</v>
      </c>
      <c r="I209" s="255">
        <v>70</v>
      </c>
      <c r="J209" s="292">
        <f>(0.3*0.52*SQRT($H209)*I209^0.9*$B$43^0.8)/1000</f>
        <v>1.8688154683555778</v>
      </c>
      <c r="K209" s="292">
        <f>MIN($C$47*$I209*$C$46/1000,(2.3*SQRT($C$45*$C$47*$C$46))/1000+(J209/4),$C$47*$I209*$C$47*(SQRT(2+4*$C$45/($C$47*$I209^2*$C$46))-1)/1000+J209/4)</f>
        <v>1.4223746078391131</v>
      </c>
      <c r="L209" s="292">
        <f>B209*F209+G209*K209</f>
        <v>5.0646478158177981</v>
      </c>
      <c r="R209"/>
      <c r="S209"/>
    </row>
    <row r="210" spans="1:19" ht="43.9" customHeight="1">
      <c r="A210" s="83"/>
      <c r="D210" s="21" t="s">
        <v>294</v>
      </c>
      <c r="E210" s="275">
        <v>0.3</v>
      </c>
      <c r="N210" t="s">
        <v>167</v>
      </c>
      <c r="O210" t="s">
        <v>168</v>
      </c>
      <c r="P210" s="2" t="s">
        <v>183</v>
      </c>
      <c r="Q210" s="2" t="s">
        <v>183</v>
      </c>
      <c r="R210"/>
      <c r="S210"/>
    </row>
    <row r="211" spans="1:19">
      <c r="N211" t="s">
        <v>171</v>
      </c>
      <c r="O211" t="s">
        <v>172</v>
      </c>
      <c r="P211" t="s">
        <v>173</v>
      </c>
      <c r="Q211" t="s">
        <v>174</v>
      </c>
      <c r="R211"/>
      <c r="S211"/>
    </row>
    <row r="212" spans="1:19" ht="18">
      <c r="A212" s="3" t="s">
        <v>2</v>
      </c>
      <c r="B212" s="4" t="s">
        <v>165</v>
      </c>
      <c r="C212" s="4" t="s">
        <v>150</v>
      </c>
      <c r="D212" s="4" t="s">
        <v>155</v>
      </c>
      <c r="E212" s="4" t="s">
        <v>175</v>
      </c>
      <c r="F212" s="4" t="s">
        <v>153</v>
      </c>
      <c r="G212" s="4" t="s">
        <v>176</v>
      </c>
      <c r="H212" s="4" t="s">
        <v>177</v>
      </c>
      <c r="I212" s="4" t="s">
        <v>178</v>
      </c>
      <c r="J212" s="2"/>
      <c r="K212" s="2"/>
      <c r="L212" s="2"/>
      <c r="N212" s="4" t="s">
        <v>177</v>
      </c>
      <c r="O212" s="4" t="s">
        <v>180</v>
      </c>
      <c r="P212" s="4" t="s">
        <v>180</v>
      </c>
      <c r="Q212" s="4" t="s">
        <v>180</v>
      </c>
      <c r="R212"/>
      <c r="S212"/>
    </row>
    <row r="213" spans="1:19">
      <c r="A213" s="7"/>
      <c r="B213" s="56" t="s">
        <v>17</v>
      </c>
      <c r="C213" s="8" t="s">
        <v>19</v>
      </c>
      <c r="D213" s="8" t="s">
        <v>75</v>
      </c>
      <c r="E213" s="8" t="s">
        <v>75</v>
      </c>
      <c r="F213" s="8" t="s">
        <v>18</v>
      </c>
      <c r="G213" s="8" t="s">
        <v>17</v>
      </c>
      <c r="H213" s="8" t="s">
        <v>18</v>
      </c>
      <c r="I213" s="8" t="s">
        <v>17</v>
      </c>
      <c r="J213" s="2"/>
      <c r="K213" s="2"/>
      <c r="L213" s="2"/>
      <c r="N213" s="8" t="s">
        <v>18</v>
      </c>
      <c r="O213" s="8" t="s">
        <v>18</v>
      </c>
      <c r="P213" s="8" t="s">
        <v>18</v>
      </c>
      <c r="Q213" s="8" t="s">
        <v>18</v>
      </c>
      <c r="R213"/>
      <c r="S213"/>
    </row>
    <row r="214" spans="1:19" ht="45">
      <c r="A214" s="62" t="s">
        <v>358</v>
      </c>
      <c r="B214" s="750" t="s">
        <v>166</v>
      </c>
      <c r="C214" s="212">
        <v>2.8</v>
      </c>
      <c r="D214" s="57">
        <v>29</v>
      </c>
      <c r="E214" s="277">
        <v>43</v>
      </c>
      <c r="F214" s="278">
        <v>0</v>
      </c>
      <c r="G214" s="212">
        <f t="shared" ref="G214:G239" si="48">$F182/SQRT((1/$C214+F214/$D214)^2+(F214/$E214)^2)</f>
        <v>6.5399051307086493</v>
      </c>
      <c r="H214" s="278">
        <v>73</v>
      </c>
      <c r="I214" s="279">
        <f t="shared" ref="I214:I239" si="49">$F182/SQRT((1/$C214+H214/$D214)^2+(H214/$E214)^2)</f>
        <v>0.69966362556761941</v>
      </c>
      <c r="J214" s="92"/>
      <c r="K214" s="92"/>
      <c r="L214" s="92"/>
      <c r="N214" s="278">
        <v>73</v>
      </c>
      <c r="O214" s="278">
        <f>21+10+16+36/2</f>
        <v>65</v>
      </c>
      <c r="P214" s="278">
        <f>21+10+19+16/2</f>
        <v>58</v>
      </c>
      <c r="Q214" s="278">
        <f>21+10+19+52/2</f>
        <v>76</v>
      </c>
      <c r="R214"/>
      <c r="S214"/>
    </row>
    <row r="215" spans="1:19" ht="45">
      <c r="A215" s="62" t="s">
        <v>359</v>
      </c>
      <c r="B215" s="751"/>
      <c r="C215" s="212">
        <v>3.8</v>
      </c>
      <c r="D215" s="57">
        <v>42</v>
      </c>
      <c r="E215" s="277">
        <v>81</v>
      </c>
      <c r="F215" s="278">
        <v>0</v>
      </c>
      <c r="G215" s="212">
        <f t="shared" si="48"/>
        <v>8.8755855345331689</v>
      </c>
      <c r="H215" s="278">
        <v>83</v>
      </c>
      <c r="I215" s="279">
        <f t="shared" si="49"/>
        <v>0.94843965605745983</v>
      </c>
      <c r="J215" s="92"/>
      <c r="K215" s="92"/>
      <c r="L215" s="92"/>
      <c r="N215" s="278">
        <v>83</v>
      </c>
      <c r="O215" s="278">
        <f>31+10+16+36/2</f>
        <v>75</v>
      </c>
      <c r="P215" s="278">
        <f>31+10+19+16/2</f>
        <v>68</v>
      </c>
      <c r="Q215" s="278">
        <f>31+10+19+52/2</f>
        <v>86</v>
      </c>
      <c r="R215"/>
      <c r="S215"/>
    </row>
    <row r="216" spans="1:19" ht="45">
      <c r="A216" s="62" t="s">
        <v>360</v>
      </c>
      <c r="B216" s="751"/>
      <c r="C216" s="212">
        <v>5.6</v>
      </c>
      <c r="D216" s="57">
        <v>72</v>
      </c>
      <c r="E216" s="277">
        <v>212</v>
      </c>
      <c r="F216" s="278">
        <v>0</v>
      </c>
      <c r="G216" s="212">
        <f t="shared" si="48"/>
        <v>13.079810261417299</v>
      </c>
      <c r="H216" s="278">
        <v>93</v>
      </c>
      <c r="I216" s="279">
        <f t="shared" si="49"/>
        <v>1.5223220596940228</v>
      </c>
      <c r="J216" s="92"/>
      <c r="K216" s="92"/>
      <c r="L216" s="92"/>
      <c r="N216" s="278">
        <v>93</v>
      </c>
      <c r="O216" s="278">
        <f>41+10+16+36/2</f>
        <v>85</v>
      </c>
      <c r="P216" s="278">
        <f>41+10+19+16/2</f>
        <v>78</v>
      </c>
      <c r="Q216" s="278">
        <f>41+10+19+52/2</f>
        <v>96</v>
      </c>
      <c r="R216"/>
      <c r="S216"/>
    </row>
    <row r="217" spans="1:19" ht="45">
      <c r="A217" s="62" t="s">
        <v>361</v>
      </c>
      <c r="B217" s="751"/>
      <c r="C217" s="212">
        <v>7.3</v>
      </c>
      <c r="D217" s="57">
        <v>109</v>
      </c>
      <c r="E217" s="277">
        <v>433</v>
      </c>
      <c r="F217" s="278">
        <v>0</v>
      </c>
      <c r="G217" s="212">
        <f t="shared" si="48"/>
        <v>17.050466947918981</v>
      </c>
      <c r="H217" s="278">
        <v>103</v>
      </c>
      <c r="I217" s="279">
        <f t="shared" si="49"/>
        <v>2.1084306822776826</v>
      </c>
      <c r="J217" s="92"/>
      <c r="K217" s="92"/>
      <c r="L217" s="92"/>
      <c r="N217" s="278">
        <v>103</v>
      </c>
      <c r="O217" s="278">
        <f>51+10+16+36/2</f>
        <v>95</v>
      </c>
      <c r="P217" s="278">
        <f>51+10+19+16/2</f>
        <v>88</v>
      </c>
      <c r="Q217" s="278">
        <f>51+10+19+52/2</f>
        <v>106</v>
      </c>
      <c r="R217"/>
      <c r="S217"/>
    </row>
    <row r="218" spans="1:19" ht="45">
      <c r="A218" s="62" t="s">
        <v>362</v>
      </c>
      <c r="B218" s="751"/>
      <c r="C218" s="212">
        <v>9.1</v>
      </c>
      <c r="D218" s="57">
        <v>154</v>
      </c>
      <c r="E218" s="277">
        <v>767</v>
      </c>
      <c r="F218" s="278">
        <v>0</v>
      </c>
      <c r="G218" s="212">
        <f t="shared" si="48"/>
        <v>21.254691674803112</v>
      </c>
      <c r="H218" s="278">
        <v>113</v>
      </c>
      <c r="I218" s="279">
        <f t="shared" si="49"/>
        <v>2.7272490675802317</v>
      </c>
      <c r="J218" s="92"/>
      <c r="K218" s="92"/>
      <c r="L218" s="92"/>
      <c r="N218" s="278">
        <v>113</v>
      </c>
      <c r="O218" s="278">
        <f>61+10+16+36/2</f>
        <v>105</v>
      </c>
      <c r="P218" s="278">
        <f>61+10+19+16/2</f>
        <v>98</v>
      </c>
      <c r="Q218" s="278">
        <f>61+10+19+52/2</f>
        <v>116</v>
      </c>
      <c r="R218"/>
      <c r="S218"/>
    </row>
    <row r="219" spans="1:19" ht="45">
      <c r="A219" s="62" t="s">
        <v>363</v>
      </c>
      <c r="B219" s="751"/>
      <c r="C219" s="212">
        <v>10.9</v>
      </c>
      <c r="D219" s="57">
        <v>208</v>
      </c>
      <c r="E219" s="277">
        <v>1241</v>
      </c>
      <c r="F219" s="278">
        <v>0</v>
      </c>
      <c r="G219" s="212">
        <f t="shared" si="48"/>
        <v>25.458916401687247</v>
      </c>
      <c r="H219" s="278">
        <v>123</v>
      </c>
      <c r="I219" s="279">
        <f t="shared" si="49"/>
        <v>3.383855678405205</v>
      </c>
      <c r="J219" s="92"/>
      <c r="K219" s="92"/>
      <c r="L219" s="92"/>
      <c r="N219" s="278">
        <v>123</v>
      </c>
      <c r="O219" s="278">
        <f>71+10+16+36/2</f>
        <v>115</v>
      </c>
      <c r="P219" s="278">
        <f>71+10+19+16/2</f>
        <v>108</v>
      </c>
      <c r="Q219" s="278">
        <f>71+10+19+52/2</f>
        <v>126</v>
      </c>
      <c r="R219"/>
      <c r="S219"/>
    </row>
    <row r="220" spans="1:19" ht="45">
      <c r="A220" s="62" t="s">
        <v>364</v>
      </c>
      <c r="B220" s="751"/>
      <c r="C220" s="212">
        <v>6.6</v>
      </c>
      <c r="D220" s="57">
        <v>182</v>
      </c>
      <c r="E220" s="277">
        <v>1140</v>
      </c>
      <c r="F220" s="278">
        <v>0</v>
      </c>
      <c r="G220" s="212">
        <f t="shared" si="48"/>
        <v>15.415490665241817</v>
      </c>
      <c r="H220" s="278">
        <v>118</v>
      </c>
      <c r="I220" s="279">
        <f t="shared" si="49"/>
        <v>2.8959392357891027</v>
      </c>
      <c r="J220" s="92"/>
      <c r="K220" s="92"/>
      <c r="L220" s="92"/>
      <c r="N220" s="278">
        <v>118</v>
      </c>
      <c r="O220" s="278">
        <f>66+10+16+36/2</f>
        <v>110</v>
      </c>
      <c r="P220" s="278">
        <f>66+10+19+16/2</f>
        <v>103</v>
      </c>
      <c r="Q220" s="278">
        <f>66+10+19+52/2</f>
        <v>121</v>
      </c>
      <c r="R220"/>
      <c r="S220"/>
    </row>
    <row r="221" spans="1:19" ht="47.45" customHeight="1">
      <c r="A221" s="62" t="s">
        <v>365</v>
      </c>
      <c r="B221" s="751"/>
      <c r="C221" s="212">
        <v>10.1</v>
      </c>
      <c r="D221" s="57">
        <v>319</v>
      </c>
      <c r="E221" s="277">
        <v>2603</v>
      </c>
      <c r="F221" s="278">
        <v>0</v>
      </c>
      <c r="G221" s="212">
        <f t="shared" si="48"/>
        <v>23.590372078627627</v>
      </c>
      <c r="H221" s="278">
        <v>139</v>
      </c>
      <c r="I221" s="279">
        <f t="shared" si="49"/>
        <v>4.3462101466486533</v>
      </c>
      <c r="J221" s="92"/>
      <c r="K221" s="92"/>
      <c r="L221" s="92"/>
      <c r="N221" s="278">
        <v>139</v>
      </c>
      <c r="O221" s="278">
        <f>87+10+16+36/2</f>
        <v>131</v>
      </c>
      <c r="P221" s="278">
        <f>87+10+19+16/2</f>
        <v>124</v>
      </c>
      <c r="Q221" s="278">
        <f>87+10+19+52/2</f>
        <v>142</v>
      </c>
      <c r="R221"/>
      <c r="S221"/>
    </row>
    <row r="222" spans="1:19" ht="45">
      <c r="A222" s="62" t="s">
        <v>366</v>
      </c>
      <c r="B222" s="751"/>
      <c r="C222" s="212">
        <v>13.7</v>
      </c>
      <c r="D222" s="57">
        <v>486</v>
      </c>
      <c r="E222" s="277">
        <v>4918</v>
      </c>
      <c r="F222" s="278">
        <v>0</v>
      </c>
      <c r="G222" s="212">
        <f t="shared" si="48"/>
        <v>31.99882153239589</v>
      </c>
      <c r="H222" s="278">
        <v>162</v>
      </c>
      <c r="I222" s="279">
        <f t="shared" si="49"/>
        <v>5.7294947405109848</v>
      </c>
      <c r="J222" s="92"/>
      <c r="K222" s="92"/>
      <c r="L222" s="92"/>
      <c r="N222" s="278">
        <v>162</v>
      </c>
      <c r="O222" s="278">
        <f>110+10+16+36/2</f>
        <v>154</v>
      </c>
      <c r="P222" s="278">
        <f>110+10+19+16/2</f>
        <v>147</v>
      </c>
      <c r="Q222" s="278">
        <f>110+10+19+52/2</f>
        <v>165</v>
      </c>
      <c r="R222"/>
      <c r="S222"/>
    </row>
    <row r="223" spans="1:19" ht="45">
      <c r="A223" s="62" t="s">
        <v>367</v>
      </c>
      <c r="B223" s="751"/>
      <c r="C223" s="212">
        <v>13.7</v>
      </c>
      <c r="D223" s="57">
        <v>486</v>
      </c>
      <c r="E223" s="277">
        <v>4918</v>
      </c>
      <c r="F223" s="278">
        <v>0</v>
      </c>
      <c r="G223" s="212">
        <f t="shared" si="48"/>
        <v>31.99882153239589</v>
      </c>
      <c r="H223" s="139">
        <f>53/2+16+10+130</f>
        <v>182.5</v>
      </c>
      <c r="I223" s="279">
        <f t="shared" si="49"/>
        <v>5.189943829273024</v>
      </c>
      <c r="J223" s="92"/>
      <c r="K223" s="92"/>
      <c r="L223" s="92"/>
      <c r="N223" s="282"/>
      <c r="O223" s="282"/>
      <c r="P223" s="282"/>
      <c r="Q223" s="282"/>
      <c r="R223"/>
      <c r="S223"/>
    </row>
    <row r="224" spans="1:19" ht="45.75" thickBot="1">
      <c r="A224" s="283" t="s">
        <v>368</v>
      </c>
      <c r="B224" s="752"/>
      <c r="C224" s="286">
        <v>13.7</v>
      </c>
      <c r="D224" s="287">
        <v>486</v>
      </c>
      <c r="E224" s="316">
        <v>4918</v>
      </c>
      <c r="F224" s="317">
        <v>0</v>
      </c>
      <c r="G224" s="286">
        <f t="shared" si="48"/>
        <v>31.99882153239589</v>
      </c>
      <c r="H224" s="327">
        <f>53/2+16+10+150</f>
        <v>202.5</v>
      </c>
      <c r="I224" s="318">
        <f t="shared" si="49"/>
        <v>4.7532350477089675</v>
      </c>
      <c r="J224" s="92"/>
      <c r="K224" s="92"/>
      <c r="L224" s="92"/>
      <c r="N224" s="282"/>
      <c r="O224" s="282"/>
      <c r="P224" s="282"/>
      <c r="Q224" s="282"/>
      <c r="R224"/>
      <c r="S224"/>
    </row>
    <row r="225" spans="1:19" ht="45.75" thickTop="1">
      <c r="A225" s="259" t="s">
        <v>369</v>
      </c>
      <c r="B225" s="738" t="s">
        <v>166</v>
      </c>
      <c r="C225" s="260">
        <v>2.8</v>
      </c>
      <c r="D225" s="261">
        <v>26</v>
      </c>
      <c r="E225" s="319">
        <v>51</v>
      </c>
      <c r="F225" s="320">
        <v>0</v>
      </c>
      <c r="G225" s="260">
        <f t="shared" si="48"/>
        <v>6.5399051307086493</v>
      </c>
      <c r="H225" s="320">
        <v>0</v>
      </c>
      <c r="I225" s="321">
        <f t="shared" si="49"/>
        <v>6.5399051307086493</v>
      </c>
      <c r="J225" s="92"/>
      <c r="K225" s="92"/>
      <c r="L225" s="92"/>
      <c r="N225" s="282"/>
      <c r="O225" s="282"/>
      <c r="P225" s="282"/>
      <c r="Q225" s="282"/>
      <c r="R225"/>
      <c r="S225"/>
    </row>
    <row r="226" spans="1:19" ht="45">
      <c r="A226" s="62" t="s">
        <v>370</v>
      </c>
      <c r="B226" s="677"/>
      <c r="C226" s="212">
        <v>3.8</v>
      </c>
      <c r="D226" s="57">
        <v>46</v>
      </c>
      <c r="E226" s="277">
        <v>131</v>
      </c>
      <c r="F226" s="278">
        <v>0</v>
      </c>
      <c r="G226" s="212">
        <f t="shared" si="48"/>
        <v>8.8755855345331689</v>
      </c>
      <c r="H226" s="278">
        <v>0</v>
      </c>
      <c r="I226" s="279">
        <f t="shared" si="49"/>
        <v>8.8755855345331689</v>
      </c>
      <c r="J226" s="92"/>
      <c r="K226" s="92"/>
      <c r="L226" s="92"/>
      <c r="N226" s="282"/>
      <c r="O226" s="282"/>
      <c r="P226" s="282"/>
      <c r="Q226" s="282"/>
      <c r="R226"/>
      <c r="S226"/>
    </row>
    <row r="227" spans="1:19" ht="45">
      <c r="A227" s="62" t="s">
        <v>371</v>
      </c>
      <c r="B227" s="677"/>
      <c r="C227" s="212">
        <v>5.6</v>
      </c>
      <c r="D227" s="57">
        <v>74</v>
      </c>
      <c r="E227" s="277">
        <v>307</v>
      </c>
      <c r="F227" s="278">
        <v>0</v>
      </c>
      <c r="G227" s="212">
        <f t="shared" si="48"/>
        <v>13.079810261417299</v>
      </c>
      <c r="H227" s="278">
        <v>0</v>
      </c>
      <c r="I227" s="279">
        <f t="shared" si="49"/>
        <v>13.079810261417299</v>
      </c>
      <c r="J227" s="92"/>
      <c r="K227" s="92"/>
      <c r="L227" s="92"/>
      <c r="N227" s="282"/>
      <c r="O227" s="282"/>
      <c r="P227" s="282"/>
      <c r="Q227" s="282"/>
      <c r="R227"/>
      <c r="S227"/>
    </row>
    <row r="228" spans="1:19" ht="45">
      <c r="A228" s="62" t="s">
        <v>372</v>
      </c>
      <c r="B228" s="677"/>
      <c r="C228" s="212">
        <v>7.3</v>
      </c>
      <c r="D228" s="57">
        <v>110</v>
      </c>
      <c r="E228" s="277">
        <v>595</v>
      </c>
      <c r="F228" s="278">
        <v>0</v>
      </c>
      <c r="G228" s="212">
        <f t="shared" si="48"/>
        <v>17.050466947918981</v>
      </c>
      <c r="H228" s="278">
        <v>0</v>
      </c>
      <c r="I228" s="279">
        <f t="shared" si="49"/>
        <v>17.050466947918981</v>
      </c>
      <c r="J228" s="92"/>
      <c r="K228" s="92"/>
      <c r="L228" s="92"/>
      <c r="N228" s="282"/>
      <c r="O228" s="282"/>
      <c r="P228" s="282"/>
      <c r="Q228" s="282"/>
      <c r="R228"/>
      <c r="S228"/>
    </row>
    <row r="229" spans="1:19" ht="45">
      <c r="A229" s="62" t="s">
        <v>373</v>
      </c>
      <c r="B229" s="677"/>
      <c r="C229" s="212">
        <v>9.1</v>
      </c>
      <c r="D229" s="57">
        <v>153</v>
      </c>
      <c r="E229" s="277">
        <v>1025</v>
      </c>
      <c r="F229" s="278">
        <v>0</v>
      </c>
      <c r="G229" s="212">
        <f t="shared" si="48"/>
        <v>21.254691674803112</v>
      </c>
      <c r="H229" s="278">
        <v>0</v>
      </c>
      <c r="I229" s="279">
        <f t="shared" si="49"/>
        <v>21.254691674803112</v>
      </c>
      <c r="J229" s="92"/>
      <c r="K229" s="92"/>
      <c r="L229" s="92"/>
      <c r="N229" s="282"/>
      <c r="O229" s="282"/>
      <c r="P229" s="282"/>
      <c r="Q229" s="282"/>
      <c r="R229"/>
      <c r="S229"/>
    </row>
    <row r="230" spans="1:19" ht="45">
      <c r="A230" s="62" t="s">
        <v>374</v>
      </c>
      <c r="B230" s="677"/>
      <c r="C230" s="212">
        <v>10.9</v>
      </c>
      <c r="D230" s="57">
        <v>205</v>
      </c>
      <c r="E230" s="277">
        <v>1629</v>
      </c>
      <c r="F230" s="278">
        <v>0</v>
      </c>
      <c r="G230" s="212">
        <f t="shared" si="48"/>
        <v>25.458916401687247</v>
      </c>
      <c r="H230" s="278">
        <v>0</v>
      </c>
      <c r="I230" s="279">
        <f t="shared" si="49"/>
        <v>25.458916401687247</v>
      </c>
      <c r="J230" s="92"/>
      <c r="K230" s="92"/>
      <c r="L230" s="92"/>
      <c r="N230" s="282"/>
      <c r="O230" s="282"/>
      <c r="P230" s="282"/>
      <c r="Q230" s="282"/>
      <c r="R230"/>
      <c r="S230"/>
    </row>
    <row r="231" spans="1:19" ht="45">
      <c r="A231" s="62" t="s">
        <v>375</v>
      </c>
      <c r="B231" s="677"/>
      <c r="C231" s="212">
        <v>6.6</v>
      </c>
      <c r="D231" s="57">
        <v>181</v>
      </c>
      <c r="E231" s="277">
        <v>1414</v>
      </c>
      <c r="F231" s="278">
        <v>0</v>
      </c>
      <c r="G231" s="212">
        <f t="shared" si="48"/>
        <v>15.415490665241817</v>
      </c>
      <c r="H231" s="278">
        <v>0</v>
      </c>
      <c r="I231" s="279">
        <f t="shared" si="49"/>
        <v>15.415490665241817</v>
      </c>
      <c r="J231" s="92"/>
      <c r="K231" s="92"/>
      <c r="L231" s="92"/>
      <c r="N231" s="282"/>
      <c r="O231" s="282"/>
      <c r="P231" s="282"/>
      <c r="Q231" s="282"/>
      <c r="R231"/>
      <c r="S231"/>
    </row>
    <row r="232" spans="1:19" ht="45">
      <c r="A232" s="62" t="s">
        <v>376</v>
      </c>
      <c r="B232" s="677"/>
      <c r="C232" s="212">
        <v>10.1</v>
      </c>
      <c r="D232" s="57">
        <v>317</v>
      </c>
      <c r="E232" s="277">
        <v>3232</v>
      </c>
      <c r="F232" s="278">
        <v>0</v>
      </c>
      <c r="G232" s="212">
        <f t="shared" si="48"/>
        <v>23.590372078627627</v>
      </c>
      <c r="H232" s="278">
        <v>0</v>
      </c>
      <c r="I232" s="279">
        <f t="shared" si="49"/>
        <v>23.590372078627627</v>
      </c>
      <c r="J232" s="92"/>
      <c r="K232" s="92"/>
      <c r="L232" s="92"/>
      <c r="N232" s="282"/>
      <c r="O232" s="282"/>
      <c r="P232" s="282"/>
      <c r="Q232" s="282"/>
      <c r="R232"/>
      <c r="S232"/>
    </row>
    <row r="233" spans="1:19" ht="45">
      <c r="A233" s="62" t="s">
        <v>377</v>
      </c>
      <c r="B233" s="677"/>
      <c r="C233" s="212">
        <v>13.7</v>
      </c>
      <c r="D233" s="57">
        <v>483</v>
      </c>
      <c r="E233" s="277">
        <v>6114</v>
      </c>
      <c r="F233" s="278">
        <v>0</v>
      </c>
      <c r="G233" s="212">
        <f t="shared" si="48"/>
        <v>31.99882153239589</v>
      </c>
      <c r="H233" s="278">
        <v>0</v>
      </c>
      <c r="I233" s="279">
        <f t="shared" si="49"/>
        <v>31.99882153239589</v>
      </c>
      <c r="J233" s="92"/>
      <c r="K233" s="92"/>
      <c r="L233" s="92"/>
      <c r="N233" s="282"/>
      <c r="O233" s="282"/>
      <c r="P233" s="282"/>
      <c r="Q233" s="282"/>
      <c r="R233"/>
      <c r="S233"/>
    </row>
    <row r="234" spans="1:19" ht="45">
      <c r="A234" s="62" t="s">
        <v>378</v>
      </c>
      <c r="B234" s="677"/>
      <c r="C234" s="212">
        <v>13.7</v>
      </c>
      <c r="D234" s="57">
        <v>483</v>
      </c>
      <c r="E234" s="277">
        <v>6114</v>
      </c>
      <c r="F234" s="278">
        <v>0</v>
      </c>
      <c r="G234" s="212">
        <f t="shared" si="48"/>
        <v>31.99882153239589</v>
      </c>
      <c r="H234" s="278">
        <v>0</v>
      </c>
      <c r="I234" s="279">
        <f t="shared" si="49"/>
        <v>31.99882153239589</v>
      </c>
      <c r="J234" s="92"/>
      <c r="K234" s="92"/>
      <c r="L234" s="92"/>
      <c r="N234" s="282"/>
      <c r="O234" s="282"/>
      <c r="P234" s="282"/>
      <c r="Q234" s="282"/>
      <c r="R234"/>
      <c r="S234"/>
    </row>
    <row r="235" spans="1:19" ht="45.75" thickBot="1">
      <c r="A235" s="283" t="s">
        <v>379</v>
      </c>
      <c r="B235" s="677"/>
      <c r="C235" s="286">
        <v>13.7</v>
      </c>
      <c r="D235" s="287">
        <v>483</v>
      </c>
      <c r="E235" s="316">
        <v>6114</v>
      </c>
      <c r="F235" s="317">
        <v>0</v>
      </c>
      <c r="G235" s="286">
        <f t="shared" si="48"/>
        <v>31.99882153239589</v>
      </c>
      <c r="H235" s="317">
        <v>0</v>
      </c>
      <c r="I235" s="318">
        <f t="shared" si="49"/>
        <v>31.99882153239589</v>
      </c>
      <c r="J235" s="92"/>
      <c r="K235" s="92"/>
      <c r="L235" s="92"/>
      <c r="N235" s="282"/>
      <c r="O235" s="282"/>
      <c r="P235" s="282"/>
      <c r="Q235" s="282"/>
      <c r="R235"/>
      <c r="S235"/>
    </row>
    <row r="236" spans="1:19" ht="45.75" thickTop="1">
      <c r="A236" s="259" t="s">
        <v>764</v>
      </c>
      <c r="B236" s="677"/>
      <c r="C236" s="212">
        <v>3.3</v>
      </c>
      <c r="D236" s="57">
        <v>69</v>
      </c>
      <c r="E236" s="277">
        <v>100000</v>
      </c>
      <c r="F236" s="278">
        <v>0</v>
      </c>
      <c r="G236" s="212">
        <f t="shared" si="48"/>
        <v>7.7077453326209087</v>
      </c>
      <c r="H236" s="278">
        <v>0</v>
      </c>
      <c r="I236" s="279">
        <f t="shared" si="49"/>
        <v>7.7077453326209087</v>
      </c>
      <c r="J236" s="92"/>
      <c r="K236" s="92"/>
      <c r="L236" s="92"/>
      <c r="N236" s="282"/>
      <c r="O236" s="282"/>
      <c r="P236" s="282"/>
      <c r="Q236" s="282"/>
      <c r="R236"/>
      <c r="S236"/>
    </row>
    <row r="237" spans="1:19" ht="45">
      <c r="A237" s="62" t="s">
        <v>765</v>
      </c>
      <c r="B237" s="677"/>
      <c r="C237" s="212">
        <v>4</v>
      </c>
      <c r="D237" s="57">
        <v>99</v>
      </c>
      <c r="E237" s="277">
        <v>100000</v>
      </c>
      <c r="F237" s="278">
        <v>0</v>
      </c>
      <c r="G237" s="212">
        <f t="shared" si="48"/>
        <v>9.3427216152980712</v>
      </c>
      <c r="H237" s="278">
        <v>0</v>
      </c>
      <c r="I237" s="279">
        <f t="shared" si="49"/>
        <v>9.3427216152980712</v>
      </c>
      <c r="J237" s="92"/>
      <c r="K237" s="92"/>
      <c r="L237" s="92"/>
      <c r="N237" s="282"/>
      <c r="O237" s="282"/>
      <c r="P237" s="282"/>
      <c r="Q237" s="282"/>
      <c r="R237"/>
      <c r="S237"/>
    </row>
    <row r="238" spans="1:19" ht="45">
      <c r="A238" s="62" t="s">
        <v>766</v>
      </c>
      <c r="B238" s="677"/>
      <c r="C238" s="212">
        <v>4</v>
      </c>
      <c r="D238" s="57">
        <v>123</v>
      </c>
      <c r="E238" s="277">
        <v>100000</v>
      </c>
      <c r="F238" s="278">
        <v>0</v>
      </c>
      <c r="G238" s="212">
        <f t="shared" si="48"/>
        <v>9.3427216152980712</v>
      </c>
      <c r="H238" s="278">
        <v>0</v>
      </c>
      <c r="I238" s="279">
        <f t="shared" si="49"/>
        <v>9.3427216152980712</v>
      </c>
      <c r="J238" s="92"/>
      <c r="K238" s="92"/>
      <c r="L238" s="92"/>
      <c r="N238" s="282"/>
      <c r="O238" s="282"/>
      <c r="P238" s="282"/>
      <c r="Q238" s="282"/>
      <c r="R238"/>
      <c r="S238"/>
    </row>
    <row r="239" spans="1:19" ht="45.75" thickBot="1">
      <c r="A239" s="283" t="s">
        <v>767</v>
      </c>
      <c r="B239" s="677"/>
      <c r="C239" s="286">
        <v>4.7</v>
      </c>
      <c r="D239" s="287">
        <v>159</v>
      </c>
      <c r="E239" s="316">
        <v>100000</v>
      </c>
      <c r="F239" s="317">
        <v>0</v>
      </c>
      <c r="G239" s="286">
        <f t="shared" si="48"/>
        <v>10.977697897975233</v>
      </c>
      <c r="H239" s="317">
        <v>0</v>
      </c>
      <c r="I239" s="318">
        <f t="shared" si="49"/>
        <v>10.977697897975233</v>
      </c>
      <c r="J239" s="92"/>
      <c r="K239" s="92"/>
      <c r="L239" s="92"/>
      <c r="N239" s="282"/>
      <c r="O239" s="282"/>
      <c r="P239" s="282"/>
      <c r="Q239" s="282"/>
      <c r="R239"/>
      <c r="S239"/>
    </row>
    <row r="240" spans="1:19" ht="45.75" thickTop="1">
      <c r="A240" s="259" t="s">
        <v>380</v>
      </c>
      <c r="B240" s="677"/>
      <c r="C240" s="260">
        <v>2.7</v>
      </c>
      <c r="D240" s="261">
        <v>23</v>
      </c>
      <c r="E240" s="319">
        <v>0</v>
      </c>
      <c r="F240" s="320">
        <v>0</v>
      </c>
      <c r="G240" s="260">
        <f>$F208/SQRT((1/$C240+F240/$D240)^2)</f>
        <v>5.9937262203768435</v>
      </c>
      <c r="H240" s="320">
        <v>0</v>
      </c>
      <c r="I240" s="321">
        <f>$F208/SQRT((1/$C240+H240/$D240)^2)</f>
        <v>5.9937262203768435</v>
      </c>
      <c r="J240" s="92"/>
      <c r="K240" s="92"/>
      <c r="L240" s="92"/>
      <c r="N240" s="282"/>
      <c r="O240" s="282"/>
      <c r="P240" s="282"/>
      <c r="Q240" s="282"/>
      <c r="R240"/>
      <c r="S240"/>
    </row>
    <row r="241" spans="1:19" ht="45">
      <c r="A241" s="259" t="s">
        <v>381</v>
      </c>
      <c r="B241" s="678"/>
      <c r="C241" s="212">
        <v>2.7</v>
      </c>
      <c r="D241" s="57">
        <v>25</v>
      </c>
      <c r="E241" s="277">
        <v>0</v>
      </c>
      <c r="F241" s="278">
        <v>0</v>
      </c>
      <c r="G241" s="212">
        <f>$F209/SQRT((1/$C241+F241/$D241)^2)</f>
        <v>5.9937262203768435</v>
      </c>
      <c r="H241" s="278">
        <v>0</v>
      </c>
      <c r="I241" s="279">
        <f>$F209/SQRT((1/$C241+H241/$D241)^2)</f>
        <v>5.9937262203768435</v>
      </c>
      <c r="J241" s="92"/>
      <c r="K241" s="92"/>
      <c r="L241" s="92"/>
      <c r="N241" s="282"/>
      <c r="O241" s="282"/>
      <c r="P241" s="282"/>
      <c r="Q241" s="282"/>
      <c r="R241"/>
      <c r="S241"/>
    </row>
    <row r="242" spans="1:19">
      <c r="R242"/>
      <c r="S242"/>
    </row>
    <row r="243" spans="1:19">
      <c r="R243"/>
      <c r="S243"/>
    </row>
    <row r="244" spans="1:19" ht="18">
      <c r="A244" s="3" t="s">
        <v>2</v>
      </c>
      <c r="B244" s="4" t="s">
        <v>41</v>
      </c>
      <c r="C244" s="4" t="s">
        <v>9</v>
      </c>
      <c r="D244" s="4" t="s">
        <v>42</v>
      </c>
      <c r="E244" s="4" t="s">
        <v>66</v>
      </c>
      <c r="F244" s="4" t="s">
        <v>67</v>
      </c>
      <c r="G244" s="4" t="s">
        <v>41</v>
      </c>
      <c r="H244" s="4" t="s">
        <v>9</v>
      </c>
      <c r="I244" s="4" t="s">
        <v>42</v>
      </c>
      <c r="J244" s="4" t="s">
        <v>66</v>
      </c>
      <c r="K244" s="4" t="s">
        <v>67</v>
      </c>
      <c r="L244" s="4" t="s">
        <v>181</v>
      </c>
      <c r="R244"/>
      <c r="S244"/>
    </row>
    <row r="245" spans="1:19">
      <c r="A245" s="7"/>
      <c r="B245" s="8" t="s">
        <v>19</v>
      </c>
      <c r="C245" s="8" t="s">
        <v>18</v>
      </c>
      <c r="D245" s="8" t="s">
        <v>18</v>
      </c>
      <c r="E245" s="8" t="s">
        <v>17</v>
      </c>
      <c r="F245" s="8" t="s">
        <v>17</v>
      </c>
      <c r="G245" s="8" t="s">
        <v>19</v>
      </c>
      <c r="H245" s="8" t="s">
        <v>18</v>
      </c>
      <c r="I245" s="8" t="s">
        <v>18</v>
      </c>
      <c r="J245" s="8" t="s">
        <v>17</v>
      </c>
      <c r="K245" s="8" t="s">
        <v>17</v>
      </c>
      <c r="L245" s="56" t="s">
        <v>17</v>
      </c>
      <c r="R245"/>
      <c r="S245"/>
    </row>
    <row r="246" spans="1:19" ht="45">
      <c r="A246" s="62" t="s">
        <v>882</v>
      </c>
      <c r="B246" s="85"/>
      <c r="C246" s="85"/>
      <c r="D246" s="85"/>
      <c r="E246" s="85"/>
      <c r="F246" s="85"/>
      <c r="G246" s="213">
        <v>4</v>
      </c>
      <c r="H246" s="213">
        <v>5</v>
      </c>
      <c r="I246" s="255">
        <v>40</v>
      </c>
      <c r="J246" s="292">
        <f>(0.52*SQRT(H246)*I246^0.9*B172^0.8)/1000</f>
        <v>3.7645313796964266</v>
      </c>
      <c r="K246" s="299">
        <f>MIN(C176*C174*I246/1000,2.3*SQRT(C173*C176*C174)/1000+(J246/4),C176*C174*I246/1000*(SQRT(2+4*C173/(C176*C174*I246^2))-1)+J246/4)</f>
        <v>2.4468068992206229</v>
      </c>
      <c r="L246" s="299">
        <f>+G246*K246</f>
        <v>9.7872275968824916</v>
      </c>
      <c r="R246"/>
      <c r="S246"/>
    </row>
    <row r="247" spans="1:19" ht="45">
      <c r="A247" s="62" t="s">
        <v>358</v>
      </c>
      <c r="B247" s="57">
        <v>1</v>
      </c>
      <c r="C247" s="57">
        <v>8</v>
      </c>
      <c r="D247" s="212">
        <v>35</v>
      </c>
      <c r="E247" s="78">
        <f t="shared" ref="E247:E272" si="50">(0.52*SQRT($C247)*D247^0.9*$B$172^0.8)/1000</f>
        <v>4.2225826668958426</v>
      </c>
      <c r="F247" s="78">
        <f t="shared" ref="F247:F272" si="51">MIN(2.3*SQRT($B$173*$B$176*$B$174)/1000+(E247/4),$B$176*$B$174*D247/1000,$B$176*$B$174*D247/1000*(SQRT(2+4*$B$173/($B$176*$B$174*D247^2))-1)+E247/4)</f>
        <v>3.5986908599833538</v>
      </c>
      <c r="G247" s="57">
        <v>2</v>
      </c>
      <c r="H247" s="57">
        <v>5</v>
      </c>
      <c r="I247" s="212">
        <v>45</v>
      </c>
      <c r="J247" s="679" t="s">
        <v>166</v>
      </c>
      <c r="K247" s="680"/>
      <c r="L247" s="681"/>
      <c r="R247"/>
      <c r="S247"/>
    </row>
    <row r="248" spans="1:19" ht="45">
      <c r="A248" s="62" t="s">
        <v>359</v>
      </c>
      <c r="B248" s="57">
        <v>2</v>
      </c>
      <c r="C248" s="57">
        <v>8</v>
      </c>
      <c r="D248" s="212">
        <v>35</v>
      </c>
      <c r="E248" s="78">
        <f t="shared" si="50"/>
        <v>4.2225826668958426</v>
      </c>
      <c r="F248" s="78">
        <f t="shared" si="51"/>
        <v>3.5986908599833538</v>
      </c>
      <c r="G248" s="57">
        <v>2</v>
      </c>
      <c r="H248" s="57">
        <v>5</v>
      </c>
      <c r="I248" s="212">
        <v>45</v>
      </c>
      <c r="J248" s="682"/>
      <c r="K248" s="683"/>
      <c r="L248" s="684"/>
      <c r="R248"/>
      <c r="S248"/>
    </row>
    <row r="249" spans="1:19" ht="45">
      <c r="A249" s="62" t="s">
        <v>360</v>
      </c>
      <c r="B249" s="57">
        <v>2</v>
      </c>
      <c r="C249" s="57">
        <v>8</v>
      </c>
      <c r="D249" s="212">
        <v>35</v>
      </c>
      <c r="E249" s="78">
        <f t="shared" si="50"/>
        <v>4.2225826668958426</v>
      </c>
      <c r="F249" s="78">
        <f t="shared" si="51"/>
        <v>3.5986908599833538</v>
      </c>
      <c r="G249" s="57">
        <v>4</v>
      </c>
      <c r="H249" s="57">
        <v>5</v>
      </c>
      <c r="I249" s="212">
        <v>45</v>
      </c>
      <c r="J249" s="682"/>
      <c r="K249" s="683"/>
      <c r="L249" s="684"/>
      <c r="R249"/>
      <c r="S249"/>
    </row>
    <row r="250" spans="1:19" ht="45">
      <c r="A250" s="62" t="s">
        <v>361</v>
      </c>
      <c r="B250" s="57">
        <v>2</v>
      </c>
      <c r="C250" s="57">
        <v>8</v>
      </c>
      <c r="D250" s="212">
        <v>35</v>
      </c>
      <c r="E250" s="78">
        <f t="shared" si="50"/>
        <v>4.2225826668958426</v>
      </c>
      <c r="F250" s="78">
        <f t="shared" si="51"/>
        <v>3.5986908599833538</v>
      </c>
      <c r="G250" s="57">
        <v>6</v>
      </c>
      <c r="H250" s="57">
        <v>5</v>
      </c>
      <c r="I250" s="212">
        <v>45</v>
      </c>
      <c r="J250" s="682"/>
      <c r="K250" s="683"/>
      <c r="L250" s="684"/>
      <c r="R250"/>
      <c r="S250"/>
    </row>
    <row r="251" spans="1:19" ht="45">
      <c r="A251" s="62" t="s">
        <v>362</v>
      </c>
      <c r="B251" s="57">
        <v>2</v>
      </c>
      <c r="C251" s="57">
        <v>8</v>
      </c>
      <c r="D251" s="212">
        <v>35</v>
      </c>
      <c r="E251" s="78">
        <f t="shared" si="50"/>
        <v>4.2225826668958426</v>
      </c>
      <c r="F251" s="78">
        <f t="shared" si="51"/>
        <v>3.5986908599833538</v>
      </c>
      <c r="G251" s="57">
        <v>8</v>
      </c>
      <c r="H251" s="57">
        <v>5</v>
      </c>
      <c r="I251" s="212">
        <v>45</v>
      </c>
      <c r="J251" s="682"/>
      <c r="K251" s="683"/>
      <c r="L251" s="684"/>
      <c r="R251"/>
      <c r="S251"/>
    </row>
    <row r="252" spans="1:19" ht="45">
      <c r="A252" s="62" t="s">
        <v>363</v>
      </c>
      <c r="B252" s="57">
        <v>2</v>
      </c>
      <c r="C252" s="57">
        <v>8</v>
      </c>
      <c r="D252" s="212">
        <v>35</v>
      </c>
      <c r="E252" s="78">
        <f t="shared" si="50"/>
        <v>4.2225826668958426</v>
      </c>
      <c r="F252" s="78">
        <f t="shared" si="51"/>
        <v>3.5986908599833538</v>
      </c>
      <c r="G252" s="57">
        <v>10</v>
      </c>
      <c r="H252" s="57">
        <v>5</v>
      </c>
      <c r="I252" s="212">
        <v>45</v>
      </c>
      <c r="J252" s="682"/>
      <c r="K252" s="683"/>
      <c r="L252" s="684"/>
      <c r="R252"/>
      <c r="S252"/>
    </row>
    <row r="253" spans="1:19" ht="45">
      <c r="A253" s="62" t="s">
        <v>364</v>
      </c>
      <c r="B253" s="57">
        <v>3</v>
      </c>
      <c r="C253" s="57">
        <v>8</v>
      </c>
      <c r="D253" s="212">
        <v>35</v>
      </c>
      <c r="E253" s="78">
        <f t="shared" si="50"/>
        <v>4.2225826668958426</v>
      </c>
      <c r="F253" s="78">
        <f t="shared" si="51"/>
        <v>3.5986908599833538</v>
      </c>
      <c r="G253" s="57">
        <v>4</v>
      </c>
      <c r="H253" s="57">
        <v>5</v>
      </c>
      <c r="I253" s="212">
        <v>45</v>
      </c>
      <c r="J253" s="682"/>
      <c r="K253" s="683"/>
      <c r="L253" s="684"/>
      <c r="R253"/>
      <c r="S253"/>
    </row>
    <row r="254" spans="1:19" ht="45">
      <c r="A254" s="62" t="s">
        <v>365</v>
      </c>
      <c r="B254" s="57">
        <v>3</v>
      </c>
      <c r="C254" s="57">
        <v>8</v>
      </c>
      <c r="D254" s="212">
        <v>35</v>
      </c>
      <c r="E254" s="78">
        <f t="shared" si="50"/>
        <v>4.2225826668958426</v>
      </c>
      <c r="F254" s="78">
        <f t="shared" si="51"/>
        <v>3.5986908599833538</v>
      </c>
      <c r="G254" s="57">
        <v>8</v>
      </c>
      <c r="H254" s="57">
        <v>5</v>
      </c>
      <c r="I254" s="212">
        <v>45</v>
      </c>
      <c r="J254" s="682"/>
      <c r="K254" s="683"/>
      <c r="L254" s="684"/>
      <c r="R254"/>
      <c r="S254"/>
    </row>
    <row r="255" spans="1:19" ht="45">
      <c r="A255" s="62" t="s">
        <v>366</v>
      </c>
      <c r="B255" s="57">
        <v>3</v>
      </c>
      <c r="C255" s="57">
        <v>8</v>
      </c>
      <c r="D255" s="212">
        <v>35</v>
      </c>
      <c r="E255" s="78">
        <f t="shared" si="50"/>
        <v>4.2225826668958426</v>
      </c>
      <c r="F255" s="78">
        <f t="shared" si="51"/>
        <v>3.5986908599833538</v>
      </c>
      <c r="G255" s="57">
        <v>12</v>
      </c>
      <c r="H255" s="57">
        <v>5</v>
      </c>
      <c r="I255" s="212">
        <v>45</v>
      </c>
      <c r="J255" s="682"/>
      <c r="K255" s="683"/>
      <c r="L255" s="684"/>
      <c r="R255"/>
      <c r="S255"/>
    </row>
    <row r="256" spans="1:19" ht="45">
      <c r="A256" s="62" t="s">
        <v>367</v>
      </c>
      <c r="B256" s="57">
        <v>3</v>
      </c>
      <c r="C256" s="57">
        <v>8</v>
      </c>
      <c r="D256" s="212">
        <v>35</v>
      </c>
      <c r="E256" s="78">
        <f t="shared" si="50"/>
        <v>4.2225826668958426</v>
      </c>
      <c r="F256" s="78">
        <f t="shared" si="51"/>
        <v>3.5986908599833538</v>
      </c>
      <c r="G256" s="57">
        <v>16</v>
      </c>
      <c r="H256" s="57">
        <v>5</v>
      </c>
      <c r="I256" s="212">
        <v>45</v>
      </c>
      <c r="J256" s="682"/>
      <c r="K256" s="683"/>
      <c r="L256" s="684"/>
      <c r="R256"/>
      <c r="S256"/>
    </row>
    <row r="257" spans="1:19" ht="45.75" thickBot="1">
      <c r="A257" s="283" t="s">
        <v>368</v>
      </c>
      <c r="B257" s="287">
        <v>3</v>
      </c>
      <c r="C257" s="287">
        <v>8</v>
      </c>
      <c r="D257" s="286">
        <v>35</v>
      </c>
      <c r="E257" s="312">
        <f t="shared" si="50"/>
        <v>4.2225826668958426</v>
      </c>
      <c r="F257" s="312">
        <f t="shared" si="51"/>
        <v>3.5986908599833538</v>
      </c>
      <c r="G257" s="287">
        <v>20</v>
      </c>
      <c r="H257" s="287">
        <v>5</v>
      </c>
      <c r="I257" s="286">
        <v>45</v>
      </c>
      <c r="J257" s="741"/>
      <c r="K257" s="742"/>
      <c r="L257" s="743"/>
      <c r="R257"/>
      <c r="S257"/>
    </row>
    <row r="258" spans="1:19" ht="45.75" thickTop="1">
      <c r="A258" s="259" t="s">
        <v>369</v>
      </c>
      <c r="B258" s="261">
        <v>1</v>
      </c>
      <c r="C258" s="261">
        <v>8</v>
      </c>
      <c r="D258" s="260">
        <v>35</v>
      </c>
      <c r="E258" s="322">
        <f t="shared" si="50"/>
        <v>4.2225826668958426</v>
      </c>
      <c r="F258" s="322">
        <f t="shared" si="51"/>
        <v>3.5986908599833538</v>
      </c>
      <c r="G258" s="261">
        <v>2</v>
      </c>
      <c r="H258" s="261">
        <v>5</v>
      </c>
      <c r="I258" s="260">
        <v>45</v>
      </c>
      <c r="J258" s="682" t="s">
        <v>166</v>
      </c>
      <c r="K258" s="683"/>
      <c r="L258" s="684"/>
      <c r="R258"/>
      <c r="S258"/>
    </row>
    <row r="259" spans="1:19" ht="45">
      <c r="A259" s="62" t="s">
        <v>370</v>
      </c>
      <c r="B259" s="57">
        <v>2</v>
      </c>
      <c r="C259" s="57">
        <v>8</v>
      </c>
      <c r="D259" s="212">
        <v>35</v>
      </c>
      <c r="E259" s="78">
        <f t="shared" si="50"/>
        <v>4.2225826668958426</v>
      </c>
      <c r="F259" s="78">
        <f t="shared" si="51"/>
        <v>3.5986908599833538</v>
      </c>
      <c r="G259" s="57">
        <v>2</v>
      </c>
      <c r="H259" s="57">
        <v>5</v>
      </c>
      <c r="I259" s="212">
        <v>45</v>
      </c>
      <c r="J259" s="682"/>
      <c r="K259" s="683"/>
      <c r="L259" s="684"/>
      <c r="R259"/>
      <c r="S259"/>
    </row>
    <row r="260" spans="1:19" ht="45">
      <c r="A260" s="62" t="s">
        <v>371</v>
      </c>
      <c r="B260" s="57">
        <v>2</v>
      </c>
      <c r="C260" s="57">
        <v>8</v>
      </c>
      <c r="D260" s="212">
        <v>35</v>
      </c>
      <c r="E260" s="78">
        <f t="shared" si="50"/>
        <v>4.2225826668958426</v>
      </c>
      <c r="F260" s="78">
        <f t="shared" si="51"/>
        <v>3.5986908599833538</v>
      </c>
      <c r="G260" s="57">
        <v>4</v>
      </c>
      <c r="H260" s="57">
        <v>5</v>
      </c>
      <c r="I260" s="212">
        <v>45</v>
      </c>
      <c r="J260" s="682"/>
      <c r="K260" s="683"/>
      <c r="L260" s="684"/>
      <c r="R260"/>
      <c r="S260"/>
    </row>
    <row r="261" spans="1:19" ht="45">
      <c r="A261" s="62" t="s">
        <v>372</v>
      </c>
      <c r="B261" s="57">
        <v>2</v>
      </c>
      <c r="C261" s="57">
        <v>8</v>
      </c>
      <c r="D261" s="212">
        <v>35</v>
      </c>
      <c r="E261" s="78">
        <f t="shared" si="50"/>
        <v>4.2225826668958426</v>
      </c>
      <c r="F261" s="78">
        <f t="shared" si="51"/>
        <v>3.5986908599833538</v>
      </c>
      <c r="G261" s="57">
        <v>6</v>
      </c>
      <c r="H261" s="57">
        <v>5</v>
      </c>
      <c r="I261" s="212">
        <v>45</v>
      </c>
      <c r="J261" s="682"/>
      <c r="K261" s="683"/>
      <c r="L261" s="684"/>
      <c r="R261"/>
      <c r="S261"/>
    </row>
    <row r="262" spans="1:19" ht="45">
      <c r="A262" s="62" t="s">
        <v>373</v>
      </c>
      <c r="B262" s="57">
        <v>2</v>
      </c>
      <c r="C262" s="57">
        <v>8</v>
      </c>
      <c r="D262" s="212">
        <v>35</v>
      </c>
      <c r="E262" s="78">
        <f t="shared" si="50"/>
        <v>4.2225826668958426</v>
      </c>
      <c r="F262" s="78">
        <f t="shared" si="51"/>
        <v>3.5986908599833538</v>
      </c>
      <c r="G262" s="57">
        <v>8</v>
      </c>
      <c r="H262" s="57">
        <v>5</v>
      </c>
      <c r="I262" s="212">
        <v>45</v>
      </c>
      <c r="J262" s="682"/>
      <c r="K262" s="683"/>
      <c r="L262" s="684"/>
      <c r="R262"/>
      <c r="S262"/>
    </row>
    <row r="263" spans="1:19" ht="45">
      <c r="A263" s="62" t="s">
        <v>374</v>
      </c>
      <c r="B263" s="57">
        <v>2</v>
      </c>
      <c r="C263" s="57">
        <v>8</v>
      </c>
      <c r="D263" s="212">
        <v>35</v>
      </c>
      <c r="E263" s="78">
        <f t="shared" si="50"/>
        <v>4.2225826668958426</v>
      </c>
      <c r="F263" s="78">
        <f t="shared" si="51"/>
        <v>3.5986908599833538</v>
      </c>
      <c r="G263" s="57">
        <v>10</v>
      </c>
      <c r="H263" s="57">
        <v>5</v>
      </c>
      <c r="I263" s="212">
        <v>45</v>
      </c>
      <c r="J263" s="682"/>
      <c r="K263" s="683"/>
      <c r="L263" s="684"/>
      <c r="R263"/>
      <c r="S263"/>
    </row>
    <row r="264" spans="1:19" ht="45">
      <c r="A264" s="62" t="s">
        <v>375</v>
      </c>
      <c r="B264" s="57">
        <v>3</v>
      </c>
      <c r="C264" s="57">
        <v>8</v>
      </c>
      <c r="D264" s="212">
        <v>35</v>
      </c>
      <c r="E264" s="78">
        <f t="shared" si="50"/>
        <v>4.2225826668958426</v>
      </c>
      <c r="F264" s="78">
        <f t="shared" si="51"/>
        <v>3.5986908599833538</v>
      </c>
      <c r="G264" s="57">
        <v>4</v>
      </c>
      <c r="H264" s="57">
        <v>5</v>
      </c>
      <c r="I264" s="212">
        <v>45</v>
      </c>
      <c r="J264" s="682"/>
      <c r="K264" s="683"/>
      <c r="L264" s="684"/>
      <c r="R264"/>
      <c r="S264"/>
    </row>
    <row r="265" spans="1:19" ht="45">
      <c r="A265" s="62" t="s">
        <v>376</v>
      </c>
      <c r="B265" s="57">
        <v>3</v>
      </c>
      <c r="C265" s="57">
        <v>8</v>
      </c>
      <c r="D265" s="212">
        <v>35</v>
      </c>
      <c r="E265" s="78">
        <f t="shared" si="50"/>
        <v>4.2225826668958426</v>
      </c>
      <c r="F265" s="78">
        <f t="shared" si="51"/>
        <v>3.5986908599833538</v>
      </c>
      <c r="G265" s="57">
        <v>8</v>
      </c>
      <c r="H265" s="57">
        <v>5</v>
      </c>
      <c r="I265" s="212">
        <v>45</v>
      </c>
      <c r="J265" s="682"/>
      <c r="K265" s="683"/>
      <c r="L265" s="684"/>
      <c r="R265"/>
      <c r="S265"/>
    </row>
    <row r="266" spans="1:19" ht="45">
      <c r="A266" s="62" t="s">
        <v>377</v>
      </c>
      <c r="B266" s="57">
        <v>3</v>
      </c>
      <c r="C266" s="57">
        <v>8</v>
      </c>
      <c r="D266" s="212">
        <v>35</v>
      </c>
      <c r="E266" s="78">
        <f t="shared" si="50"/>
        <v>4.2225826668958426</v>
      </c>
      <c r="F266" s="78">
        <f t="shared" si="51"/>
        <v>3.5986908599833538</v>
      </c>
      <c r="G266" s="57">
        <v>12</v>
      </c>
      <c r="H266" s="57">
        <v>5</v>
      </c>
      <c r="I266" s="212">
        <v>45</v>
      </c>
      <c r="J266" s="682"/>
      <c r="K266" s="683"/>
      <c r="L266" s="684"/>
      <c r="R266"/>
      <c r="S266"/>
    </row>
    <row r="267" spans="1:19" ht="45">
      <c r="A267" s="62" t="s">
        <v>378</v>
      </c>
      <c r="B267" s="57">
        <v>3</v>
      </c>
      <c r="C267" s="57">
        <v>8</v>
      </c>
      <c r="D267" s="212">
        <v>35</v>
      </c>
      <c r="E267" s="78">
        <f t="shared" si="50"/>
        <v>4.2225826668958426</v>
      </c>
      <c r="F267" s="78">
        <f t="shared" si="51"/>
        <v>3.5986908599833538</v>
      </c>
      <c r="G267" s="57">
        <v>16</v>
      </c>
      <c r="H267" s="57">
        <v>5</v>
      </c>
      <c r="I267" s="212">
        <v>45</v>
      </c>
      <c r="J267" s="682"/>
      <c r="K267" s="683"/>
      <c r="L267" s="684"/>
      <c r="R267"/>
      <c r="S267"/>
    </row>
    <row r="268" spans="1:19" ht="45.75" thickBot="1">
      <c r="A268" s="283" t="s">
        <v>379</v>
      </c>
      <c r="B268" s="287">
        <v>3</v>
      </c>
      <c r="C268" s="287">
        <v>8</v>
      </c>
      <c r="D268" s="286">
        <v>35</v>
      </c>
      <c r="E268" s="312">
        <f t="shared" si="50"/>
        <v>4.2225826668958426</v>
      </c>
      <c r="F268" s="312">
        <f t="shared" si="51"/>
        <v>3.5986908599833538</v>
      </c>
      <c r="G268" s="287">
        <v>20</v>
      </c>
      <c r="H268" s="287">
        <v>5</v>
      </c>
      <c r="I268" s="286">
        <v>45</v>
      </c>
      <c r="J268" s="741"/>
      <c r="K268" s="742"/>
      <c r="L268" s="743"/>
      <c r="R268"/>
      <c r="S268"/>
    </row>
    <row r="269" spans="1:19" ht="45.75" thickTop="1">
      <c r="A269" s="259" t="s">
        <v>764</v>
      </c>
      <c r="B269" s="57">
        <v>2</v>
      </c>
      <c r="C269" s="57">
        <v>8</v>
      </c>
      <c r="D269" s="212">
        <v>35</v>
      </c>
      <c r="E269" s="78">
        <f t="shared" si="50"/>
        <v>4.2225826668958426</v>
      </c>
      <c r="F269" s="78">
        <f t="shared" si="51"/>
        <v>3.5986908599833538</v>
      </c>
      <c r="G269" s="57">
        <v>2</v>
      </c>
      <c r="H269" s="57">
        <v>5</v>
      </c>
      <c r="I269" s="212">
        <v>45</v>
      </c>
      <c r="J269" s="755" t="s">
        <v>166</v>
      </c>
      <c r="K269" s="756"/>
      <c r="L269" s="757"/>
      <c r="R269"/>
      <c r="S269"/>
    </row>
    <row r="270" spans="1:19" ht="45">
      <c r="A270" s="62" t="s">
        <v>765</v>
      </c>
      <c r="B270" s="57">
        <v>2</v>
      </c>
      <c r="C270" s="57">
        <v>8</v>
      </c>
      <c r="D270" s="212">
        <v>35</v>
      </c>
      <c r="E270" s="78">
        <f t="shared" si="50"/>
        <v>4.2225826668958426</v>
      </c>
      <c r="F270" s="78">
        <f t="shared" si="51"/>
        <v>3.5986908599833538</v>
      </c>
      <c r="G270" s="57">
        <v>3</v>
      </c>
      <c r="H270" s="57">
        <v>5</v>
      </c>
      <c r="I270" s="212">
        <v>45</v>
      </c>
      <c r="J270" s="682"/>
      <c r="K270" s="683"/>
      <c r="L270" s="684"/>
      <c r="R270"/>
      <c r="S270"/>
    </row>
    <row r="271" spans="1:19" ht="45">
      <c r="A271" s="62" t="s">
        <v>766</v>
      </c>
      <c r="B271" s="57">
        <v>2</v>
      </c>
      <c r="C271" s="57">
        <v>8</v>
      </c>
      <c r="D271" s="212">
        <v>35</v>
      </c>
      <c r="E271" s="78">
        <f t="shared" si="50"/>
        <v>4.2225826668958426</v>
      </c>
      <c r="F271" s="78">
        <f t="shared" si="51"/>
        <v>3.5986908599833538</v>
      </c>
      <c r="G271" s="57">
        <v>3</v>
      </c>
      <c r="H271" s="57">
        <v>5</v>
      </c>
      <c r="I271" s="212">
        <v>45</v>
      </c>
      <c r="J271" s="682"/>
      <c r="K271" s="683"/>
      <c r="L271" s="684"/>
      <c r="R271"/>
      <c r="S271"/>
    </row>
    <row r="272" spans="1:19" ht="45.75" thickBot="1">
      <c r="A272" s="283" t="s">
        <v>767</v>
      </c>
      <c r="B272" s="287">
        <v>2</v>
      </c>
      <c r="C272" s="287">
        <v>8</v>
      </c>
      <c r="D272" s="286">
        <v>35</v>
      </c>
      <c r="E272" s="312">
        <f t="shared" si="50"/>
        <v>4.2225826668958426</v>
      </c>
      <c r="F272" s="312">
        <f t="shared" si="51"/>
        <v>3.5986908599833538</v>
      </c>
      <c r="G272" s="287">
        <v>4</v>
      </c>
      <c r="H272" s="287">
        <v>5</v>
      </c>
      <c r="I272" s="286">
        <v>45</v>
      </c>
      <c r="J272" s="741"/>
      <c r="K272" s="742"/>
      <c r="L272" s="743"/>
      <c r="R272"/>
      <c r="S272"/>
    </row>
    <row r="273" spans="1:19" ht="45.75" thickTop="1">
      <c r="A273" s="259" t="s">
        <v>380</v>
      </c>
      <c r="B273" s="296">
        <v>1</v>
      </c>
      <c r="C273" s="296">
        <v>5</v>
      </c>
      <c r="D273" s="297">
        <v>35</v>
      </c>
      <c r="E273" s="322">
        <f>($E$210*0.52*SQRT($C273)*D273^0.9*$B$172^0.8)/1000</f>
        <v>1.0014734126804203</v>
      </c>
      <c r="F273" s="298">
        <f>MIN($B$47*$D273*$B$46/1000,(2.3*SQRT($B$45*$B$47*$B$46))/1000+(E273/4),$B$47*$D273*$B$46*(SQRT(2+4*$B$45/($B$47*$D273^2*$B$46))-1)/1000+E273/4)</f>
        <v>1.5900016465162135</v>
      </c>
      <c r="G273" s="296">
        <v>2</v>
      </c>
      <c r="H273" s="296">
        <v>5</v>
      </c>
      <c r="I273" s="297">
        <v>45</v>
      </c>
      <c r="J273" s="298">
        <f>(0.3*0.52*SQRT($H273)*I273^0.9*$B$43^0.8)/1000</f>
        <v>1.2556524446697936</v>
      </c>
      <c r="K273" s="298">
        <f>MIN($C$47*$I273*$C$46/1000,(2.3*SQRT($C$45*$C$47*$C$46))/1000+(J273/4),$C$47*$I273*$C$47*(SQRT(2+4*$C$45/($C$47*$I273^2*$C$46))-1)/1000+J273/4)</f>
        <v>1.269083851917667</v>
      </c>
      <c r="L273" s="298">
        <f>B273*F273+G273*K273</f>
        <v>4.1281693503515475</v>
      </c>
      <c r="R273"/>
      <c r="S273"/>
    </row>
    <row r="274" spans="1:19" ht="45">
      <c r="A274" s="259" t="s">
        <v>381</v>
      </c>
      <c r="B274" s="213">
        <v>1</v>
      </c>
      <c r="C274" s="213">
        <v>5</v>
      </c>
      <c r="D274" s="255">
        <v>35</v>
      </c>
      <c r="E274" s="78">
        <f>($E$210*0.52*SQRT($C274)*D274^0.9*$B$172^0.8)/1000</f>
        <v>1.0014734126804203</v>
      </c>
      <c r="F274" s="292">
        <f>MIN($B$47*$D274*$B$46/1000,(2.3*SQRT($B$45*$B$47*$B$46))/1000+(E274/4),$B$47*$D274*$B$46*(SQRT(2+4*$B$45/($B$47*$D274^2*$B$46))-1)/1000+E274/4)</f>
        <v>1.5900016465162135</v>
      </c>
      <c r="G274" s="213">
        <v>2</v>
      </c>
      <c r="H274" s="213">
        <v>5</v>
      </c>
      <c r="I274" s="255">
        <v>45</v>
      </c>
      <c r="J274" s="292">
        <f>(0.3*0.52*SQRT($H274)*I274^0.9*$B$43^0.8)/1000</f>
        <v>1.2556524446697936</v>
      </c>
      <c r="K274" s="292">
        <f>MIN($C$47*$I274*$C$46/1000,(2.3*SQRT($C$45*$C$47*$C$46))/1000+(J274/4),$C$47*$I274*$C$47*(SQRT(2+4*$C$45/($C$47*$I274^2*$C$46))-1)/1000+J274/4)</f>
        <v>1.269083851917667</v>
      </c>
      <c r="L274" s="292">
        <f>B274*F274+G274*K274</f>
        <v>4.1281693503515475</v>
      </c>
      <c r="N274" t="s">
        <v>167</v>
      </c>
      <c r="O274" t="s">
        <v>168</v>
      </c>
      <c r="P274" s="2" t="s">
        <v>169</v>
      </c>
      <c r="Q274" s="2" t="s">
        <v>170</v>
      </c>
      <c r="R274"/>
      <c r="S274"/>
    </row>
    <row r="275" spans="1:19" ht="46.15" customHeight="1">
      <c r="N275" t="s">
        <v>182</v>
      </c>
      <c r="O275" t="s">
        <v>182</v>
      </c>
      <c r="P275" s="2" t="s">
        <v>183</v>
      </c>
      <c r="Q275" s="2" t="s">
        <v>183</v>
      </c>
      <c r="R275"/>
      <c r="S275"/>
    </row>
    <row r="276" spans="1:19">
      <c r="N276" t="s">
        <v>171</v>
      </c>
      <c r="O276" t="s">
        <v>172</v>
      </c>
      <c r="P276" t="s">
        <v>173</v>
      </c>
      <c r="Q276" t="s">
        <v>174</v>
      </c>
      <c r="R276"/>
      <c r="S276"/>
    </row>
    <row r="277" spans="1:19" ht="18">
      <c r="A277" s="3" t="s">
        <v>2</v>
      </c>
      <c r="B277" s="4" t="s">
        <v>181</v>
      </c>
      <c r="C277" s="4" t="s">
        <v>184</v>
      </c>
      <c r="D277" s="4" t="s">
        <v>150</v>
      </c>
      <c r="E277" s="4" t="s">
        <v>155</v>
      </c>
      <c r="F277" s="4" t="s">
        <v>175</v>
      </c>
      <c r="G277" s="4" t="s">
        <v>156</v>
      </c>
      <c r="H277" s="4" t="s">
        <v>157</v>
      </c>
      <c r="I277" s="4" t="s">
        <v>185</v>
      </c>
      <c r="J277" s="4" t="s">
        <v>180</v>
      </c>
      <c r="K277" s="4" t="s">
        <v>186</v>
      </c>
      <c r="N277" s="4" t="s">
        <v>177</v>
      </c>
      <c r="O277" s="4" t="s">
        <v>180</v>
      </c>
      <c r="P277" s="4" t="s">
        <v>180</v>
      </c>
      <c r="Q277" s="4" t="s">
        <v>180</v>
      </c>
      <c r="R277"/>
      <c r="S277"/>
    </row>
    <row r="278" spans="1:19">
      <c r="A278" s="7"/>
      <c r="B278" s="56" t="s">
        <v>17</v>
      </c>
      <c r="C278" s="8" t="s">
        <v>17</v>
      </c>
      <c r="D278" s="8" t="s">
        <v>19</v>
      </c>
      <c r="E278" s="8" t="s">
        <v>75</v>
      </c>
      <c r="F278" s="8" t="s">
        <v>75</v>
      </c>
      <c r="G278" s="8" t="s">
        <v>75</v>
      </c>
      <c r="H278" s="8" t="s">
        <v>18</v>
      </c>
      <c r="I278" s="8" t="s">
        <v>17</v>
      </c>
      <c r="J278" s="8" t="s">
        <v>18</v>
      </c>
      <c r="K278" s="8" t="s">
        <v>17</v>
      </c>
      <c r="N278" s="8" t="s">
        <v>18</v>
      </c>
      <c r="O278" s="8" t="s">
        <v>18</v>
      </c>
      <c r="P278" s="8" t="s">
        <v>18</v>
      </c>
      <c r="Q278" s="8" t="s">
        <v>18</v>
      </c>
      <c r="R278"/>
      <c r="S278"/>
    </row>
    <row r="279" spans="1:19" ht="45">
      <c r="A279" s="62" t="s">
        <v>358</v>
      </c>
      <c r="B279" s="697" t="s">
        <v>166</v>
      </c>
      <c r="C279" s="698"/>
      <c r="D279" s="212">
        <v>2.8</v>
      </c>
      <c r="E279" s="57">
        <v>29</v>
      </c>
      <c r="F279" s="277">
        <v>43</v>
      </c>
      <c r="G279" s="78">
        <v>7.28</v>
      </c>
      <c r="H279" s="278">
        <v>0</v>
      </c>
      <c r="I279" s="215">
        <f t="shared" ref="I279:I304" si="52">$F247/SQRT((1/$D279+H279/$E279)^2+(H279/$F279)^2+(F247/(G279*E247))^2)</f>
        <v>9.5750598206072546</v>
      </c>
      <c r="J279" s="278">
        <v>73</v>
      </c>
      <c r="K279" s="212">
        <f t="shared" ref="K279:K304" si="53">$F247/SQRT((1/$D279+J279/$E279)^2+(J279/$F279)^2+(F247/(G279*E247))^2)</f>
        <v>1.0773418837428164</v>
      </c>
      <c r="N279" s="137">
        <v>73</v>
      </c>
      <c r="O279" s="137">
        <f>21+10+16+36/2</f>
        <v>65</v>
      </c>
      <c r="P279" s="137">
        <f>21+10+19+16/2</f>
        <v>58</v>
      </c>
      <c r="Q279" s="137">
        <f>21+10+19+52/2</f>
        <v>76</v>
      </c>
      <c r="R279"/>
      <c r="S279"/>
    </row>
    <row r="280" spans="1:19" ht="45">
      <c r="A280" s="62" t="s">
        <v>359</v>
      </c>
      <c r="B280" s="699"/>
      <c r="C280" s="700"/>
      <c r="D280" s="212">
        <v>3.8</v>
      </c>
      <c r="E280" s="57">
        <v>42</v>
      </c>
      <c r="F280" s="277">
        <v>81</v>
      </c>
      <c r="G280" s="78">
        <v>8.61</v>
      </c>
      <c r="H280" s="278">
        <v>0</v>
      </c>
      <c r="I280" s="215">
        <f t="shared" si="52"/>
        <v>12.799531425496344</v>
      </c>
      <c r="J280" s="278">
        <v>83</v>
      </c>
      <c r="K280" s="212">
        <f t="shared" si="53"/>
        <v>1.4601258847978573</v>
      </c>
      <c r="N280" s="137">
        <v>83</v>
      </c>
      <c r="O280" s="137">
        <f>31+10+16+36/2</f>
        <v>75</v>
      </c>
      <c r="P280" s="137">
        <f>31+10+19+16/2</f>
        <v>68</v>
      </c>
      <c r="Q280" s="137">
        <f>31+10+19+52/2</f>
        <v>86</v>
      </c>
      <c r="R280"/>
      <c r="S280"/>
    </row>
    <row r="281" spans="1:19" ht="45">
      <c r="A281" s="62" t="s">
        <v>360</v>
      </c>
      <c r="B281" s="699"/>
      <c r="C281" s="700"/>
      <c r="D281" s="212">
        <v>5.6</v>
      </c>
      <c r="E281" s="57">
        <v>72</v>
      </c>
      <c r="F281" s="277">
        <v>212</v>
      </c>
      <c r="G281" s="78">
        <v>14.6</v>
      </c>
      <c r="H281" s="278">
        <v>0</v>
      </c>
      <c r="I281" s="215">
        <f t="shared" si="52"/>
        <v>19.155204983288076</v>
      </c>
      <c r="J281" s="278">
        <v>93</v>
      </c>
      <c r="K281" s="212">
        <f t="shared" si="53"/>
        <v>2.343816325561825</v>
      </c>
      <c r="N281" s="137">
        <v>93</v>
      </c>
      <c r="O281" s="137">
        <f>41+10+16+36/2</f>
        <v>85</v>
      </c>
      <c r="P281" s="137">
        <f>41+10+19+16/2</f>
        <v>78</v>
      </c>
      <c r="Q281" s="137">
        <f>41+10+19+52/2</f>
        <v>96</v>
      </c>
      <c r="R281"/>
      <c r="S281"/>
    </row>
    <row r="282" spans="1:19" ht="45">
      <c r="A282" s="62" t="s">
        <v>361</v>
      </c>
      <c r="B282" s="699"/>
      <c r="C282" s="700"/>
      <c r="D282" s="212">
        <v>7.3</v>
      </c>
      <c r="E282" s="57">
        <v>109</v>
      </c>
      <c r="F282" s="277">
        <v>433</v>
      </c>
      <c r="G282" s="78">
        <v>20.5</v>
      </c>
      <c r="H282" s="278">
        <v>0</v>
      </c>
      <c r="I282" s="215">
        <f t="shared" si="52"/>
        <v>25.138289776898255</v>
      </c>
      <c r="J282" s="278">
        <v>103</v>
      </c>
      <c r="K282" s="212">
        <f t="shared" si="53"/>
        <v>3.2462715282357855</v>
      </c>
      <c r="N282" s="137">
        <v>103</v>
      </c>
      <c r="O282" s="137">
        <f>51+10+16+36/2</f>
        <v>95</v>
      </c>
      <c r="P282" s="137">
        <f>51+10+19+16/2</f>
        <v>88</v>
      </c>
      <c r="Q282" s="137">
        <f>51+10+19+52/2</f>
        <v>106</v>
      </c>
      <c r="R282"/>
      <c r="S282"/>
    </row>
    <row r="283" spans="1:19" ht="45">
      <c r="A283" s="62" t="s">
        <v>362</v>
      </c>
      <c r="B283" s="699"/>
      <c r="C283" s="700"/>
      <c r="D283" s="212">
        <v>9.1</v>
      </c>
      <c r="E283" s="57">
        <v>154</v>
      </c>
      <c r="F283" s="277">
        <v>767</v>
      </c>
      <c r="G283" s="78">
        <v>26.4</v>
      </c>
      <c r="H283" s="278">
        <v>0</v>
      </c>
      <c r="I283" s="215">
        <f t="shared" si="52"/>
        <v>31.420360726476584</v>
      </c>
      <c r="J283" s="278">
        <v>113</v>
      </c>
      <c r="K283" s="212">
        <f t="shared" si="53"/>
        <v>4.1990167926003492</v>
      </c>
      <c r="N283" s="137">
        <v>113</v>
      </c>
      <c r="O283" s="137">
        <f>61+10+16+36/2</f>
        <v>105</v>
      </c>
      <c r="P283" s="137">
        <f>61+10+19+16/2</f>
        <v>98</v>
      </c>
      <c r="Q283" s="137">
        <f>61+10+19+52/2</f>
        <v>116</v>
      </c>
      <c r="R283"/>
      <c r="S283"/>
    </row>
    <row r="284" spans="1:19" ht="45">
      <c r="A284" s="62" t="s">
        <v>363</v>
      </c>
      <c r="B284" s="699"/>
      <c r="C284" s="700"/>
      <c r="D284" s="212">
        <v>10.9</v>
      </c>
      <c r="E284" s="57">
        <v>208</v>
      </c>
      <c r="F284" s="277">
        <v>1241</v>
      </c>
      <c r="G284" s="78">
        <v>32.4</v>
      </c>
      <c r="H284" s="278">
        <v>0</v>
      </c>
      <c r="I284" s="215">
        <f t="shared" si="52"/>
        <v>37.706512457973133</v>
      </c>
      <c r="J284" s="278">
        <v>123</v>
      </c>
      <c r="K284" s="212">
        <f t="shared" si="53"/>
        <v>5.2098813632303296</v>
      </c>
      <c r="N284" s="137">
        <v>123</v>
      </c>
      <c r="O284" s="137">
        <f>71+10+16+36/2</f>
        <v>115</v>
      </c>
      <c r="P284" s="137">
        <f>71+10+19+16/2</f>
        <v>108</v>
      </c>
      <c r="Q284" s="137">
        <f>71+10+19+52/2</f>
        <v>126</v>
      </c>
    </row>
    <row r="285" spans="1:19" ht="45">
      <c r="A285" s="62" t="s">
        <v>364</v>
      </c>
      <c r="B285" s="699"/>
      <c r="C285" s="700"/>
      <c r="D285" s="212">
        <v>6.6</v>
      </c>
      <c r="E285" s="57">
        <v>182</v>
      </c>
      <c r="F285" s="277">
        <v>1140</v>
      </c>
      <c r="G285" s="78">
        <v>15.9</v>
      </c>
      <c r="H285" s="278">
        <v>0</v>
      </c>
      <c r="I285" s="215">
        <f t="shared" si="52"/>
        <v>22.391516755529722</v>
      </c>
      <c r="J285" s="278">
        <v>118</v>
      </c>
      <c r="K285" s="212">
        <f t="shared" si="53"/>
        <v>4.4520867950019305</v>
      </c>
      <c r="N285" s="137">
        <v>118</v>
      </c>
      <c r="O285" s="137">
        <f>66+10+16+36/2</f>
        <v>110</v>
      </c>
      <c r="P285" s="137">
        <f>66+10+19+16/2</f>
        <v>103</v>
      </c>
      <c r="Q285" s="137">
        <f>66+10+19+52/2</f>
        <v>121</v>
      </c>
    </row>
    <row r="286" spans="1:19" ht="43.9" customHeight="1">
      <c r="A286" s="62" t="s">
        <v>365</v>
      </c>
      <c r="B286" s="699"/>
      <c r="C286" s="700"/>
      <c r="D286" s="212">
        <v>10.1</v>
      </c>
      <c r="E286" s="57">
        <v>319</v>
      </c>
      <c r="F286" s="277">
        <v>2603</v>
      </c>
      <c r="G286" s="78">
        <v>27.8</v>
      </c>
      <c r="H286" s="278">
        <v>0</v>
      </c>
      <c r="I286" s="215">
        <f t="shared" si="52"/>
        <v>34.720522818787899</v>
      </c>
      <c r="J286" s="278">
        <v>139</v>
      </c>
      <c r="K286" s="212">
        <f t="shared" si="53"/>
        <v>6.6855380114436862</v>
      </c>
      <c r="N286" s="137">
        <v>139</v>
      </c>
      <c r="O286" s="137">
        <f>87+10+16+36/2</f>
        <v>131</v>
      </c>
      <c r="P286" s="137">
        <f>87+10+19+16/2</f>
        <v>124</v>
      </c>
      <c r="Q286" s="137">
        <f>87+10+19+52/2</f>
        <v>142</v>
      </c>
    </row>
    <row r="287" spans="1:19" ht="45">
      <c r="A287" s="62" t="s">
        <v>366</v>
      </c>
      <c r="B287" s="699"/>
      <c r="C287" s="700"/>
      <c r="D287" s="212">
        <v>13.7</v>
      </c>
      <c r="E287" s="57">
        <v>486</v>
      </c>
      <c r="F287" s="277">
        <v>4918</v>
      </c>
      <c r="G287" s="78">
        <v>39.700000000000003</v>
      </c>
      <c r="H287" s="278">
        <v>0</v>
      </c>
      <c r="I287" s="215">
        <f t="shared" si="52"/>
        <v>47.298913774104406</v>
      </c>
      <c r="J287" s="278">
        <v>162</v>
      </c>
      <c r="K287" s="212">
        <f t="shared" si="53"/>
        <v>8.8154832035508512</v>
      </c>
      <c r="N287" s="139">
        <v>162</v>
      </c>
      <c r="O287" s="139">
        <f>110+10+16+36/2</f>
        <v>154</v>
      </c>
      <c r="P287" s="139">
        <f>110+10+19+16/2</f>
        <v>147</v>
      </c>
      <c r="Q287" s="139">
        <f>110+10+19+52/2</f>
        <v>165</v>
      </c>
    </row>
    <row r="288" spans="1:19" ht="45">
      <c r="A288" s="62" t="s">
        <v>367</v>
      </c>
      <c r="B288" s="699"/>
      <c r="C288" s="700"/>
      <c r="D288" s="212">
        <v>13.7</v>
      </c>
      <c r="E288" s="57">
        <v>486</v>
      </c>
      <c r="F288" s="277">
        <v>4918</v>
      </c>
      <c r="G288" s="78">
        <v>39.700000000000003</v>
      </c>
      <c r="H288" s="278">
        <v>0</v>
      </c>
      <c r="I288" s="215">
        <f t="shared" si="52"/>
        <v>47.298913774104406</v>
      </c>
      <c r="J288" s="278">
        <v>182.5</v>
      </c>
      <c r="K288" s="212">
        <f t="shared" si="53"/>
        <v>7.9873047380207698</v>
      </c>
      <c r="N288" s="139">
        <f>53/2+16+10+130</f>
        <v>182.5</v>
      </c>
      <c r="O288" s="139">
        <f>36/2+16+10+130</f>
        <v>174</v>
      </c>
      <c r="P288" s="139">
        <f>16/2+19+10+130</f>
        <v>167</v>
      </c>
      <c r="Q288" s="139">
        <f>52/2+19+10+130</f>
        <v>185</v>
      </c>
    </row>
    <row r="289" spans="1:17" ht="45.75" thickBot="1">
      <c r="A289" s="283" t="s">
        <v>368</v>
      </c>
      <c r="B289" s="753"/>
      <c r="C289" s="754"/>
      <c r="D289" s="286">
        <v>13.7</v>
      </c>
      <c r="E289" s="287">
        <v>486</v>
      </c>
      <c r="F289" s="316">
        <v>4918</v>
      </c>
      <c r="G289" s="312">
        <v>39.700000000000003</v>
      </c>
      <c r="H289" s="317">
        <v>0</v>
      </c>
      <c r="I289" s="310">
        <f t="shared" si="52"/>
        <v>47.298913774104406</v>
      </c>
      <c r="J289" s="317">
        <v>202.5</v>
      </c>
      <c r="K289" s="286">
        <f t="shared" si="53"/>
        <v>7.3165504773545376</v>
      </c>
      <c r="N289" s="139">
        <f>53/2+16+10+150</f>
        <v>202.5</v>
      </c>
      <c r="O289" s="139">
        <f>36/2+16+10+150</f>
        <v>194</v>
      </c>
      <c r="P289" s="139">
        <f>16/2+19+10+150</f>
        <v>187</v>
      </c>
      <c r="Q289" s="139">
        <f>52/2+19+10+150</f>
        <v>205</v>
      </c>
    </row>
    <row r="290" spans="1:17" ht="45.75" thickTop="1">
      <c r="A290" s="259" t="s">
        <v>369</v>
      </c>
      <c r="B290" s="739" t="s">
        <v>166</v>
      </c>
      <c r="C290" s="740"/>
      <c r="D290" s="260">
        <v>2.8</v>
      </c>
      <c r="E290" s="261">
        <v>26</v>
      </c>
      <c r="F290" s="319">
        <v>51</v>
      </c>
      <c r="G290" s="322">
        <v>5.46</v>
      </c>
      <c r="H290" s="320">
        <v>0</v>
      </c>
      <c r="I290" s="265">
        <f t="shared" si="52"/>
        <v>9.2330305421811047</v>
      </c>
      <c r="J290" s="320">
        <v>0</v>
      </c>
      <c r="K290" s="260">
        <f t="shared" si="53"/>
        <v>9.2330305421811047</v>
      </c>
    </row>
    <row r="291" spans="1:17" ht="45">
      <c r="A291" s="62" t="s">
        <v>370</v>
      </c>
      <c r="B291" s="699"/>
      <c r="C291" s="700"/>
      <c r="D291" s="212">
        <v>3.8</v>
      </c>
      <c r="E291" s="57">
        <v>46</v>
      </c>
      <c r="F291" s="277">
        <v>131</v>
      </c>
      <c r="G291" s="78">
        <v>6.44</v>
      </c>
      <c r="H291" s="278">
        <v>0</v>
      </c>
      <c r="I291" s="215">
        <f t="shared" si="52"/>
        <v>12.217209267647137</v>
      </c>
      <c r="J291" s="278">
        <v>0</v>
      </c>
      <c r="K291" s="212">
        <f t="shared" si="53"/>
        <v>12.217209267647137</v>
      </c>
    </row>
    <row r="292" spans="1:17" ht="45">
      <c r="A292" s="62" t="s">
        <v>371</v>
      </c>
      <c r="B292" s="699"/>
      <c r="C292" s="700"/>
      <c r="D292" s="212">
        <v>5.6</v>
      </c>
      <c r="E292" s="57">
        <v>74</v>
      </c>
      <c r="F292" s="277">
        <v>307</v>
      </c>
      <c r="G292" s="78">
        <v>10.9</v>
      </c>
      <c r="H292" s="278">
        <v>0</v>
      </c>
      <c r="I292" s="215">
        <f t="shared" si="52"/>
        <v>18.460624437427914</v>
      </c>
      <c r="J292" s="278">
        <v>0</v>
      </c>
      <c r="K292" s="212">
        <f t="shared" si="53"/>
        <v>18.460624437427914</v>
      </c>
      <c r="N292" s="282"/>
      <c r="O292" s="282"/>
      <c r="P292" s="282"/>
      <c r="Q292" s="282"/>
    </row>
    <row r="293" spans="1:17" ht="45">
      <c r="A293" s="62" t="s">
        <v>372</v>
      </c>
      <c r="B293" s="699"/>
      <c r="C293" s="700"/>
      <c r="D293" s="212">
        <v>7.3</v>
      </c>
      <c r="E293" s="57">
        <v>110</v>
      </c>
      <c r="F293" s="277">
        <v>595</v>
      </c>
      <c r="G293" s="78">
        <v>15.4</v>
      </c>
      <c r="H293" s="278">
        <v>0</v>
      </c>
      <c r="I293" s="215">
        <f t="shared" si="52"/>
        <v>24.357853816270559</v>
      </c>
      <c r="J293" s="278">
        <v>0</v>
      </c>
      <c r="K293" s="212">
        <f t="shared" si="53"/>
        <v>24.357853816270559</v>
      </c>
      <c r="N293" s="282"/>
      <c r="O293" s="282"/>
      <c r="P293" s="282"/>
      <c r="Q293" s="282"/>
    </row>
    <row r="294" spans="1:17" ht="45">
      <c r="A294" s="62" t="s">
        <v>373</v>
      </c>
      <c r="B294" s="699"/>
      <c r="C294" s="700"/>
      <c r="D294" s="212">
        <v>9.1</v>
      </c>
      <c r="E294" s="57">
        <v>153</v>
      </c>
      <c r="F294" s="277">
        <v>1025</v>
      </c>
      <c r="G294" s="78">
        <v>19.899999999999999</v>
      </c>
      <c r="H294" s="278">
        <v>0</v>
      </c>
      <c r="I294" s="215">
        <f t="shared" si="52"/>
        <v>30.512776920174119</v>
      </c>
      <c r="J294" s="278">
        <v>0</v>
      </c>
      <c r="K294" s="212">
        <f t="shared" si="53"/>
        <v>30.512776920174119</v>
      </c>
      <c r="N294" s="282"/>
      <c r="O294" s="282"/>
      <c r="P294" s="282"/>
      <c r="Q294" s="282"/>
    </row>
    <row r="295" spans="1:17" ht="45">
      <c r="A295" s="62" t="s">
        <v>374</v>
      </c>
      <c r="B295" s="699"/>
      <c r="C295" s="700"/>
      <c r="D295" s="212">
        <v>10.9</v>
      </c>
      <c r="E295" s="57">
        <v>205</v>
      </c>
      <c r="F295" s="277">
        <v>1629</v>
      </c>
      <c r="G295" s="78">
        <v>24.4</v>
      </c>
      <c r="H295" s="278">
        <v>0</v>
      </c>
      <c r="I295" s="215">
        <f t="shared" si="52"/>
        <v>36.658825363232978</v>
      </c>
      <c r="J295" s="278">
        <v>0</v>
      </c>
      <c r="K295" s="212">
        <f t="shared" si="53"/>
        <v>36.658825363232978</v>
      </c>
      <c r="N295" s="282"/>
      <c r="O295" s="282"/>
      <c r="P295" s="282"/>
      <c r="Q295" s="282"/>
    </row>
    <row r="296" spans="1:17" ht="45">
      <c r="A296" s="62" t="s">
        <v>375</v>
      </c>
      <c r="B296" s="699"/>
      <c r="C296" s="700"/>
      <c r="D296" s="212">
        <v>6.6</v>
      </c>
      <c r="E296" s="57">
        <v>181</v>
      </c>
      <c r="F296" s="277">
        <v>1414</v>
      </c>
      <c r="G296" s="78">
        <v>11.9</v>
      </c>
      <c r="H296" s="278">
        <v>0</v>
      </c>
      <c r="I296" s="215">
        <f t="shared" si="52"/>
        <v>21.473372743639604</v>
      </c>
      <c r="J296" s="278">
        <v>0</v>
      </c>
      <c r="K296" s="212">
        <f t="shared" si="53"/>
        <v>21.473372743639604</v>
      </c>
      <c r="N296" s="282"/>
      <c r="O296" s="282"/>
      <c r="P296" s="282"/>
      <c r="Q296" s="282"/>
    </row>
    <row r="297" spans="1:17" ht="45">
      <c r="A297" s="62" t="s">
        <v>376</v>
      </c>
      <c r="B297" s="699"/>
      <c r="C297" s="700"/>
      <c r="D297" s="212">
        <v>10.1</v>
      </c>
      <c r="E297" s="57">
        <v>317</v>
      </c>
      <c r="F297" s="277">
        <v>3232</v>
      </c>
      <c r="G297" s="78">
        <v>20.9</v>
      </c>
      <c r="H297" s="278">
        <v>0</v>
      </c>
      <c r="I297" s="215">
        <f t="shared" si="52"/>
        <v>33.608033043901308</v>
      </c>
      <c r="J297" s="278">
        <v>0</v>
      </c>
      <c r="K297" s="212">
        <f t="shared" si="53"/>
        <v>33.608033043901308</v>
      </c>
      <c r="N297" s="282"/>
      <c r="O297" s="282"/>
      <c r="P297" s="282"/>
      <c r="Q297" s="282"/>
    </row>
    <row r="298" spans="1:17" ht="45">
      <c r="A298" s="62" t="s">
        <v>377</v>
      </c>
      <c r="B298" s="699"/>
      <c r="C298" s="700"/>
      <c r="D298" s="212">
        <v>13.7</v>
      </c>
      <c r="E298" s="57">
        <v>483</v>
      </c>
      <c r="F298" s="277">
        <v>6114</v>
      </c>
      <c r="G298" s="78">
        <v>29.8</v>
      </c>
      <c r="H298" s="278">
        <v>0</v>
      </c>
      <c r="I298" s="215">
        <f t="shared" si="52"/>
        <v>45.904378693838133</v>
      </c>
      <c r="J298" s="278">
        <v>0</v>
      </c>
      <c r="K298" s="212">
        <f t="shared" si="53"/>
        <v>45.904378693838133</v>
      </c>
      <c r="N298" s="282"/>
      <c r="O298" s="282"/>
      <c r="P298" s="282"/>
      <c r="Q298" s="282"/>
    </row>
    <row r="299" spans="1:17" ht="45">
      <c r="A299" s="62" t="s">
        <v>378</v>
      </c>
      <c r="B299" s="699"/>
      <c r="C299" s="700"/>
      <c r="D299" s="212">
        <v>13.7</v>
      </c>
      <c r="E299" s="57">
        <v>483</v>
      </c>
      <c r="F299" s="277">
        <v>6114</v>
      </c>
      <c r="G299" s="78">
        <v>29.8</v>
      </c>
      <c r="H299" s="278">
        <v>0</v>
      </c>
      <c r="I299" s="215">
        <f t="shared" si="52"/>
        <v>45.904378693838133</v>
      </c>
      <c r="J299" s="278">
        <v>0</v>
      </c>
      <c r="K299" s="212">
        <f t="shared" si="53"/>
        <v>45.904378693838133</v>
      </c>
      <c r="N299" s="282"/>
      <c r="O299" s="282"/>
      <c r="P299" s="282"/>
      <c r="Q299" s="282"/>
    </row>
    <row r="300" spans="1:17" ht="45.75" thickBot="1">
      <c r="A300" s="283" t="s">
        <v>379</v>
      </c>
      <c r="B300" s="699"/>
      <c r="C300" s="700"/>
      <c r="D300" s="286">
        <v>13.7</v>
      </c>
      <c r="E300" s="287">
        <v>483</v>
      </c>
      <c r="F300" s="316">
        <v>6114</v>
      </c>
      <c r="G300" s="312">
        <v>29.8</v>
      </c>
      <c r="H300" s="317">
        <v>0</v>
      </c>
      <c r="I300" s="310">
        <f t="shared" si="52"/>
        <v>45.904378693838133</v>
      </c>
      <c r="J300" s="317">
        <v>0</v>
      </c>
      <c r="K300" s="286">
        <f t="shared" si="53"/>
        <v>45.904378693838133</v>
      </c>
      <c r="N300" s="282"/>
      <c r="O300" s="282"/>
      <c r="P300" s="282"/>
      <c r="Q300" s="282"/>
    </row>
    <row r="301" spans="1:17" ht="45.75" thickTop="1">
      <c r="A301" s="259" t="s">
        <v>764</v>
      </c>
      <c r="B301" s="699"/>
      <c r="C301" s="700"/>
      <c r="D301" s="212">
        <v>3.3</v>
      </c>
      <c r="E301" s="57">
        <v>69</v>
      </c>
      <c r="F301" s="277">
        <v>1000000</v>
      </c>
      <c r="G301" s="78">
        <v>1.1000000000000001</v>
      </c>
      <c r="H301" s="278">
        <v>0</v>
      </c>
      <c r="I301" s="215">
        <f t="shared" si="52"/>
        <v>4.3257420407901845</v>
      </c>
      <c r="J301" s="278">
        <v>0</v>
      </c>
      <c r="K301" s="212">
        <f t="shared" si="53"/>
        <v>4.3257420407901845</v>
      </c>
      <c r="N301" s="282"/>
      <c r="O301" s="282"/>
      <c r="P301" s="282"/>
      <c r="Q301" s="282"/>
    </row>
    <row r="302" spans="1:17" ht="45">
      <c r="A302" s="62" t="s">
        <v>765</v>
      </c>
      <c r="B302" s="699"/>
      <c r="C302" s="700"/>
      <c r="D302" s="212">
        <v>4</v>
      </c>
      <c r="E302" s="57">
        <v>99</v>
      </c>
      <c r="F302" s="277">
        <v>1000000</v>
      </c>
      <c r="G302" s="78">
        <v>1.47</v>
      </c>
      <c r="H302" s="278">
        <v>0</v>
      </c>
      <c r="I302" s="215">
        <f t="shared" si="52"/>
        <v>5.6998499553586548</v>
      </c>
      <c r="J302" s="278">
        <v>0</v>
      </c>
      <c r="K302" s="212">
        <f t="shared" si="53"/>
        <v>5.6998499553586548</v>
      </c>
      <c r="N302" s="282"/>
      <c r="O302" s="282"/>
      <c r="P302" s="282"/>
      <c r="Q302" s="282"/>
    </row>
    <row r="303" spans="1:17" ht="45">
      <c r="A303" s="62" t="s">
        <v>766</v>
      </c>
      <c r="B303" s="699"/>
      <c r="C303" s="700"/>
      <c r="D303" s="212">
        <v>4</v>
      </c>
      <c r="E303" s="57">
        <v>123</v>
      </c>
      <c r="F303" s="277">
        <v>1000000</v>
      </c>
      <c r="G303" s="78">
        <v>1.47</v>
      </c>
      <c r="H303" s="278">
        <v>0</v>
      </c>
      <c r="I303" s="215">
        <f t="shared" si="52"/>
        <v>5.6998499553586548</v>
      </c>
      <c r="J303" s="278">
        <v>0</v>
      </c>
      <c r="K303" s="212">
        <f t="shared" si="53"/>
        <v>5.6998499553586548</v>
      </c>
      <c r="N303" s="282"/>
      <c r="O303" s="282"/>
      <c r="P303" s="282"/>
      <c r="Q303" s="282"/>
    </row>
    <row r="304" spans="1:17" ht="45.75" thickBot="1">
      <c r="A304" s="283" t="s">
        <v>767</v>
      </c>
      <c r="B304" s="699"/>
      <c r="C304" s="700"/>
      <c r="D304" s="286">
        <v>4.7</v>
      </c>
      <c r="E304" s="287">
        <v>159</v>
      </c>
      <c r="F304" s="316">
        <v>1000000</v>
      </c>
      <c r="G304" s="312">
        <v>2.2000000000000002</v>
      </c>
      <c r="H304" s="317">
        <v>0</v>
      </c>
      <c r="I304" s="310">
        <f t="shared" si="52"/>
        <v>8.1423948599315175</v>
      </c>
      <c r="J304" s="317">
        <v>0</v>
      </c>
      <c r="K304" s="286">
        <f t="shared" si="53"/>
        <v>8.1423948599315175</v>
      </c>
      <c r="N304" s="282"/>
      <c r="O304" s="282"/>
      <c r="P304" s="282"/>
      <c r="Q304" s="282"/>
    </row>
    <row r="305" spans="1:23" ht="45.75" thickTop="1">
      <c r="A305" s="259" t="s">
        <v>380</v>
      </c>
      <c r="B305" s="699"/>
      <c r="C305" s="700"/>
      <c r="D305" s="260">
        <v>2.7</v>
      </c>
      <c r="E305" s="261">
        <v>23</v>
      </c>
      <c r="F305" s="319">
        <v>0</v>
      </c>
      <c r="G305" s="322">
        <v>1.1599999999999999</v>
      </c>
      <c r="H305" s="320">
        <v>0</v>
      </c>
      <c r="I305" s="265">
        <f>$F273/SQRT((1/$D305+H305/$E305)^2+(F273/(G305*E273))^2)</f>
        <v>1.1213768528916248</v>
      </c>
      <c r="J305" s="320">
        <v>0</v>
      </c>
      <c r="K305" s="260">
        <f>$F273/SQRT((1/$D305+J305/$E305)^2+(F273/(G305*E273))^2)</f>
        <v>1.1213768528916248</v>
      </c>
      <c r="N305" s="282"/>
      <c r="O305" s="282"/>
      <c r="P305" s="282"/>
      <c r="Q305" s="282"/>
      <c r="U305" s="175"/>
      <c r="V305" s="664" t="s">
        <v>195</v>
      </c>
      <c r="W305" s="666"/>
    </row>
    <row r="306" spans="1:23" ht="45">
      <c r="A306" s="259" t="s">
        <v>381</v>
      </c>
      <c r="B306" s="699"/>
      <c r="C306" s="700"/>
      <c r="D306" s="212">
        <v>2.7</v>
      </c>
      <c r="E306" s="57">
        <v>25</v>
      </c>
      <c r="F306" s="277">
        <v>0</v>
      </c>
      <c r="G306" s="78">
        <v>1.1599999999999999</v>
      </c>
      <c r="H306" s="278">
        <v>0</v>
      </c>
      <c r="I306" s="215">
        <f>$F274/SQRT((1/$D306+H306/$E306)^2+(F274/(G306*E274))^2)</f>
        <v>1.1213768528916248</v>
      </c>
      <c r="J306" s="278">
        <v>0</v>
      </c>
      <c r="K306" s="212">
        <f>$F274/SQRT((1/$D306+J306/$E306)^2+(F274/(G306*E274))^2)</f>
        <v>1.1213768528916248</v>
      </c>
      <c r="N306" s="282"/>
      <c r="O306" s="282"/>
      <c r="P306" s="282"/>
      <c r="Q306" s="282"/>
      <c r="U306" s="87">
        <v>1</v>
      </c>
      <c r="V306" s="144" t="s">
        <v>196</v>
      </c>
      <c r="W306" s="144" t="s">
        <v>197</v>
      </c>
    </row>
    <row r="307" spans="1:23">
      <c r="U307" s="81">
        <f>MIN(U$306*$F312/1.3,$C312/1,U$306*$G312/1.3)</f>
        <v>0.53820278889816875</v>
      </c>
      <c r="V307" s="330">
        <f>Q312*200/1.35</f>
        <v>47.840247902059446</v>
      </c>
      <c r="W307" s="330">
        <f>I312*0.6/1.3*200/1.35</f>
        <v>321.34452140633294</v>
      </c>
    </row>
    <row r="308" spans="1:23" ht="75">
      <c r="B308" s="71"/>
      <c r="E308" s="141" t="s">
        <v>187</v>
      </c>
      <c r="H308" s="142" t="s">
        <v>188</v>
      </c>
      <c r="I308" s="142" t="s">
        <v>189</v>
      </c>
      <c r="U308" s="81">
        <f>MIN(U$306*$F313/1.3,$C313/1,U$306*$G313/1.3)</f>
        <v>0.72956896619804601</v>
      </c>
      <c r="V308" s="330">
        <f>Q313*200/1.35</f>
        <v>64.850574773159636</v>
      </c>
      <c r="W308" s="330">
        <f>I313*0.6/1.3*200/1.35</f>
        <v>338.35484827743312</v>
      </c>
    </row>
    <row r="309" spans="1:23" ht="18">
      <c r="A309" s="3" t="s">
        <v>2</v>
      </c>
      <c r="B309" s="72" t="s">
        <v>154</v>
      </c>
      <c r="C309" s="72" t="s">
        <v>160</v>
      </c>
      <c r="D309" s="72" t="s">
        <v>158</v>
      </c>
      <c r="E309" s="73" t="s">
        <v>161</v>
      </c>
      <c r="F309" s="4" t="s">
        <v>178</v>
      </c>
      <c r="G309" s="4" t="s">
        <v>186</v>
      </c>
      <c r="H309" s="73" t="s">
        <v>191</v>
      </c>
      <c r="I309" s="73" t="s">
        <v>192</v>
      </c>
      <c r="K309" s="664" t="s">
        <v>162</v>
      </c>
      <c r="L309" s="665"/>
      <c r="M309" s="665"/>
      <c r="N309" s="665"/>
      <c r="O309" s="666"/>
      <c r="P309"/>
      <c r="Q309" s="443" t="s">
        <v>190</v>
      </c>
      <c r="R309" s="444"/>
      <c r="S309" s="444"/>
      <c r="T309" s="444"/>
      <c r="U309" s="81">
        <f>MIN(U$306*$F314/1.3,$C314/1,U$306*$G314/1.3)</f>
        <v>1.1710169689954022</v>
      </c>
      <c r="V309" s="330">
        <f>Q314*200/1.35</f>
        <v>104.09039724403571</v>
      </c>
      <c r="W309" s="330">
        <f>I314*0.6/1.3*200/1.35</f>
        <v>377.59467074830923</v>
      </c>
    </row>
    <row r="310" spans="1:23">
      <c r="A310" s="7"/>
      <c r="B310" s="76" t="s">
        <v>17</v>
      </c>
      <c r="C310" s="76" t="s">
        <v>17</v>
      </c>
      <c r="D310" s="76" t="s">
        <v>17</v>
      </c>
      <c r="E310" s="77" t="s">
        <v>17</v>
      </c>
      <c r="F310" s="8" t="s">
        <v>17</v>
      </c>
      <c r="G310" s="8" t="s">
        <v>17</v>
      </c>
      <c r="H310" s="77" t="s">
        <v>17</v>
      </c>
      <c r="I310" s="77" t="s">
        <v>17</v>
      </c>
      <c r="K310" s="87">
        <v>0.6</v>
      </c>
      <c r="L310" s="87">
        <v>0.7</v>
      </c>
      <c r="M310" s="87">
        <v>0.8</v>
      </c>
      <c r="N310" s="87">
        <v>0.9</v>
      </c>
      <c r="O310" s="87">
        <v>1</v>
      </c>
      <c r="P310"/>
      <c r="Q310" s="87">
        <v>0.6</v>
      </c>
      <c r="R310" s="87">
        <v>0.7</v>
      </c>
      <c r="S310" s="87">
        <v>0.8</v>
      </c>
      <c r="T310" s="87">
        <v>0.9</v>
      </c>
      <c r="U310" s="81">
        <f>MIN(U$306*$F315/1.3,$C315/1,U$306*$G315/1.3)</f>
        <v>1.6218697555982173</v>
      </c>
      <c r="V310" s="330">
        <f>Q315*200/1.35</f>
        <v>144.16620049761929</v>
      </c>
      <c r="W310" s="330">
        <f>I315*0.6/1.3*200/1.35</f>
        <v>417.67047400189279</v>
      </c>
    </row>
    <row r="311" spans="1:23" ht="45">
      <c r="A311" s="62" t="s">
        <v>882</v>
      </c>
      <c r="B311" s="554">
        <f>IF(AND($B$42=$V$16,$B$44=3),0,0.7*L181)</f>
        <v>3.9826489019495162</v>
      </c>
      <c r="C311" s="76">
        <f>IF(AND($B$42=$V$16,$B$44=3),0,5.6)</f>
        <v>5.6</v>
      </c>
      <c r="D311" s="58">
        <f>0.7/(SQRT((1/L246)^2+(1/(4.6*J246))^2))</f>
        <v>5.9643593821345791</v>
      </c>
      <c r="E311" s="555">
        <f>MIN(B311,D311)</f>
        <v>3.9826489019495162</v>
      </c>
      <c r="F311" s="8"/>
      <c r="G311" s="8"/>
      <c r="H311" s="77"/>
      <c r="I311" s="77"/>
      <c r="K311" s="81">
        <f t="shared" ref="K311:K333" si="54">MIN(K$310*$B311/$B$340,$C311/$C$340,K$310*$D311/$D$340)</f>
        <v>1.8381456470536228</v>
      </c>
      <c r="L311" s="81">
        <f t="shared" ref="L311:O311" si="55">MIN(L$310*$B311/$B$340,$C311/$C$340,L$310*$D311/$D$340)</f>
        <v>2.1445032548958931</v>
      </c>
      <c r="M311" s="81">
        <f t="shared" si="55"/>
        <v>2.4508608627381641</v>
      </c>
      <c r="N311" s="81">
        <f t="shared" si="55"/>
        <v>2.7572184705804341</v>
      </c>
      <c r="O311" s="81">
        <f t="shared" si="55"/>
        <v>3.0635760784227046</v>
      </c>
      <c r="P311"/>
      <c r="Q311" s="87"/>
      <c r="R311" s="87"/>
      <c r="S311" s="87"/>
      <c r="T311" s="87"/>
      <c r="U311" s="81"/>
      <c r="V311" s="330"/>
      <c r="W311" s="330"/>
    </row>
    <row r="312" spans="1:23" ht="45">
      <c r="A312" s="62" t="s">
        <v>358</v>
      </c>
      <c r="B312" s="58">
        <f>IF(AND($B$42=$V$16,$B$44=3),0,G214)</f>
        <v>6.5399051307086493</v>
      </c>
      <c r="C312" s="76">
        <f>IF(AND($B$42=$V$16,$B$44=3),0,3)</f>
        <v>3</v>
      </c>
      <c r="D312" s="58">
        <f t="shared" ref="D312:D337" si="56">I279</f>
        <v>9.5750598206072546</v>
      </c>
      <c r="E312" s="126">
        <f t="shared" ref="E312:E339" si="57">MIN(B312,C312,D312)</f>
        <v>3</v>
      </c>
      <c r="F312" s="58">
        <f t="shared" ref="F312:F333" si="58">I214</f>
        <v>0.69966362556761941</v>
      </c>
      <c r="G312" s="58">
        <f t="shared" ref="G312:G333" si="59">K279</f>
        <v>1.0773418837428164</v>
      </c>
      <c r="H312" s="126">
        <f t="shared" ref="H312:H319" si="60">MIN(F312:G312,C312)</f>
        <v>0.69966362556761941</v>
      </c>
      <c r="I312" s="126">
        <f t="shared" ref="I312:I333" si="61">H312+$B$177</f>
        <v>4.6996636255676192</v>
      </c>
      <c r="K312" s="81">
        <f t="shared" si="54"/>
        <v>3</v>
      </c>
      <c r="L312" s="81">
        <f t="shared" ref="L312:O333" si="62">MIN(L$310*$B312/$B$340,$C312/$C$340,L$310*$D312/$D$340)</f>
        <v>3</v>
      </c>
      <c r="M312" s="81">
        <f t="shared" si="62"/>
        <v>3</v>
      </c>
      <c r="N312" s="81">
        <f t="shared" si="62"/>
        <v>3</v>
      </c>
      <c r="O312" s="81">
        <f t="shared" si="62"/>
        <v>3</v>
      </c>
      <c r="P312"/>
      <c r="Q312" s="81">
        <f t="shared" ref="Q312:T333" si="63">MIN(Q$310*$F312/1.3,$C312/1,Q$310*$G312/1.3)</f>
        <v>0.32292167333890126</v>
      </c>
      <c r="R312" s="81">
        <f t="shared" si="63"/>
        <v>0.37674195222871809</v>
      </c>
      <c r="S312" s="81">
        <f t="shared" si="63"/>
        <v>0.43056223111853503</v>
      </c>
      <c r="T312" s="81">
        <f t="shared" si="63"/>
        <v>0.48438251000835192</v>
      </c>
      <c r="U312" s="81">
        <f t="shared" ref="U312:U329" si="64">MIN(U$306*$F316/1.3,$C316/1,U$306*$G316/1.3)</f>
        <v>2.0978838981386398</v>
      </c>
      <c r="V312" s="330">
        <f t="shared" ref="V312:V318" si="65">Q316*200/1.35</f>
        <v>186.47856872343459</v>
      </c>
      <c r="W312" s="330">
        <f t="shared" ref="W312:W318" si="66">I316*0.6/1.3*200/1.35</f>
        <v>459.98284222770809</v>
      </c>
    </row>
    <row r="313" spans="1:23" ht="45">
      <c r="A313" s="62" t="s">
        <v>359</v>
      </c>
      <c r="B313" s="58">
        <f t="shared" ref="B313:B339" si="67">IF(AND($B$42=$V$16,$B$44=3),0,G215)</f>
        <v>8.8755855345331689</v>
      </c>
      <c r="C313" s="76">
        <f>IF(AND($B$42=$V$16,$B$44=3),0,6)</f>
        <v>6</v>
      </c>
      <c r="D313" s="58">
        <f t="shared" si="56"/>
        <v>12.799531425496344</v>
      </c>
      <c r="E313" s="126">
        <f t="shared" si="57"/>
        <v>6</v>
      </c>
      <c r="F313" s="58">
        <f t="shared" si="58"/>
        <v>0.94843965605745983</v>
      </c>
      <c r="G313" s="58">
        <f t="shared" si="59"/>
        <v>1.4601258847978573</v>
      </c>
      <c r="H313" s="126">
        <f t="shared" si="60"/>
        <v>0.94843965605745983</v>
      </c>
      <c r="I313" s="126">
        <f t="shared" si="61"/>
        <v>4.9484396560574595</v>
      </c>
      <c r="K313" s="81">
        <f t="shared" si="54"/>
        <v>4.0964240928614624</v>
      </c>
      <c r="L313" s="81">
        <f t="shared" si="62"/>
        <v>4.7791614416717056</v>
      </c>
      <c r="M313" s="81">
        <f t="shared" si="62"/>
        <v>5.4618987904819498</v>
      </c>
      <c r="N313" s="81">
        <f t="shared" si="62"/>
        <v>6</v>
      </c>
      <c r="O313" s="81">
        <f t="shared" si="62"/>
        <v>6</v>
      </c>
      <c r="P313"/>
      <c r="Q313" s="81">
        <f t="shared" si="63"/>
        <v>0.43774137971882759</v>
      </c>
      <c r="R313" s="81">
        <f t="shared" si="63"/>
        <v>0.51069827633863218</v>
      </c>
      <c r="S313" s="81">
        <f t="shared" si="63"/>
        <v>0.58365517295843683</v>
      </c>
      <c r="T313" s="81">
        <f t="shared" si="63"/>
        <v>0.65661206957824148</v>
      </c>
      <c r="U313" s="81">
        <f t="shared" si="64"/>
        <v>2.6029659064655424</v>
      </c>
      <c r="V313" s="330">
        <f t="shared" si="65"/>
        <v>231.3747472413815</v>
      </c>
      <c r="W313" s="330">
        <f t="shared" si="66"/>
        <v>504.879020745655</v>
      </c>
    </row>
    <row r="314" spans="1:23" ht="45">
      <c r="A314" s="62" t="s">
        <v>360</v>
      </c>
      <c r="B314" s="58">
        <f t="shared" si="67"/>
        <v>13.079810261417299</v>
      </c>
      <c r="C314" s="76">
        <f>IF(AND($B$42=$V$16,$B$44=3),0,7.5)</f>
        <v>7.5</v>
      </c>
      <c r="D314" s="58">
        <f t="shared" si="56"/>
        <v>19.155204983288076</v>
      </c>
      <c r="E314" s="126">
        <f t="shared" si="57"/>
        <v>7.5</v>
      </c>
      <c r="F314" s="58">
        <f t="shared" si="58"/>
        <v>1.5223220596940228</v>
      </c>
      <c r="G314" s="58">
        <f t="shared" si="59"/>
        <v>2.343816325561825</v>
      </c>
      <c r="H314" s="126">
        <f t="shared" si="60"/>
        <v>1.5223220596940228</v>
      </c>
      <c r="I314" s="126">
        <f t="shared" si="61"/>
        <v>5.522322059694023</v>
      </c>
      <c r="K314" s="81">
        <f t="shared" si="54"/>
        <v>6.0368355052695222</v>
      </c>
      <c r="L314" s="81">
        <f t="shared" si="62"/>
        <v>7.0429747561477765</v>
      </c>
      <c r="M314" s="81">
        <f t="shared" si="62"/>
        <v>7.5</v>
      </c>
      <c r="N314" s="81">
        <f t="shared" si="62"/>
        <v>7.5</v>
      </c>
      <c r="O314" s="81">
        <f t="shared" si="62"/>
        <v>7.5</v>
      </c>
      <c r="P314"/>
      <c r="Q314" s="81">
        <f t="shared" si="63"/>
        <v>0.70261018139724118</v>
      </c>
      <c r="R314" s="81">
        <f t="shared" si="63"/>
        <v>0.81971187829678149</v>
      </c>
      <c r="S314" s="81">
        <f t="shared" si="63"/>
        <v>0.9368135751963218</v>
      </c>
      <c r="T314" s="81">
        <f t="shared" si="63"/>
        <v>1.0539152720958618</v>
      </c>
      <c r="U314" s="81">
        <f t="shared" si="64"/>
        <v>2.2276455659916174</v>
      </c>
      <c r="V314" s="330">
        <f t="shared" si="65"/>
        <v>198.01293919925484</v>
      </c>
      <c r="W314" s="330">
        <f t="shared" si="66"/>
        <v>471.51721270352823</v>
      </c>
    </row>
    <row r="315" spans="1:23" ht="45">
      <c r="A315" s="62" t="s">
        <v>361</v>
      </c>
      <c r="B315" s="58">
        <f t="shared" si="67"/>
        <v>17.050466947918981</v>
      </c>
      <c r="C315" s="76">
        <f>IF(AND($B$42=$V$16,$B$44=3),0,9)</f>
        <v>9</v>
      </c>
      <c r="D315" s="58">
        <f t="shared" si="56"/>
        <v>25.138289776898255</v>
      </c>
      <c r="E315" s="126">
        <f t="shared" si="57"/>
        <v>9</v>
      </c>
      <c r="F315" s="58">
        <f t="shared" si="58"/>
        <v>2.1084306822776826</v>
      </c>
      <c r="G315" s="58">
        <f t="shared" si="59"/>
        <v>3.2462715282357855</v>
      </c>
      <c r="H315" s="126">
        <f t="shared" si="60"/>
        <v>2.1084306822776826</v>
      </c>
      <c r="I315" s="126">
        <f t="shared" si="61"/>
        <v>6.1084306822776826</v>
      </c>
      <c r="K315" s="81">
        <f t="shared" si="54"/>
        <v>7.8694462836549137</v>
      </c>
      <c r="L315" s="81">
        <f t="shared" si="62"/>
        <v>9</v>
      </c>
      <c r="M315" s="81">
        <f t="shared" si="62"/>
        <v>9</v>
      </c>
      <c r="N315" s="81">
        <f t="shared" si="62"/>
        <v>9</v>
      </c>
      <c r="O315" s="81">
        <f t="shared" si="62"/>
        <v>9</v>
      </c>
      <c r="P315"/>
      <c r="Q315" s="81">
        <f t="shared" si="63"/>
        <v>0.97312185335893031</v>
      </c>
      <c r="R315" s="81">
        <f t="shared" si="63"/>
        <v>1.1353088289187521</v>
      </c>
      <c r="S315" s="81">
        <f t="shared" si="63"/>
        <v>1.2974958044785738</v>
      </c>
      <c r="T315" s="81">
        <f t="shared" si="63"/>
        <v>1.4596827800383956</v>
      </c>
      <c r="U315" s="81">
        <f t="shared" si="64"/>
        <v>3.3432385743451181</v>
      </c>
      <c r="V315" s="330">
        <f t="shared" si="65"/>
        <v>297.17676216401043</v>
      </c>
      <c r="W315" s="330">
        <f t="shared" si="66"/>
        <v>570.68103566828393</v>
      </c>
    </row>
    <row r="316" spans="1:23" ht="45">
      <c r="A316" s="62" t="s">
        <v>362</v>
      </c>
      <c r="B316" s="58">
        <f t="shared" si="67"/>
        <v>21.254691674803112</v>
      </c>
      <c r="C316" s="76">
        <f t="shared" ref="C316:C317" si="68">IF(AND($B$42=$V$16,$B$44=3),0,9)</f>
        <v>9</v>
      </c>
      <c r="D316" s="58">
        <f t="shared" si="56"/>
        <v>31.420360726476584</v>
      </c>
      <c r="E316" s="126">
        <f t="shared" si="57"/>
        <v>9</v>
      </c>
      <c r="F316" s="58">
        <f t="shared" si="58"/>
        <v>2.7272490675802317</v>
      </c>
      <c r="G316" s="58">
        <f t="shared" si="59"/>
        <v>4.1990167926003492</v>
      </c>
      <c r="H316" s="126">
        <f t="shared" si="60"/>
        <v>2.7272490675802317</v>
      </c>
      <c r="I316" s="126">
        <f t="shared" si="61"/>
        <v>6.7272490675802317</v>
      </c>
      <c r="K316" s="81">
        <f t="shared" si="54"/>
        <v>9</v>
      </c>
      <c r="L316" s="81">
        <f t="shared" si="62"/>
        <v>9</v>
      </c>
      <c r="M316" s="81">
        <f t="shared" si="62"/>
        <v>9</v>
      </c>
      <c r="N316" s="81">
        <f t="shared" si="62"/>
        <v>9</v>
      </c>
      <c r="O316" s="81">
        <f t="shared" si="62"/>
        <v>9</v>
      </c>
      <c r="P316"/>
      <c r="Q316" s="81">
        <f t="shared" si="63"/>
        <v>1.2587303388831836</v>
      </c>
      <c r="R316" s="81">
        <f t="shared" si="63"/>
        <v>1.4685187286970476</v>
      </c>
      <c r="S316" s="81">
        <f t="shared" si="63"/>
        <v>1.678307118510912</v>
      </c>
      <c r="T316" s="81">
        <f t="shared" si="63"/>
        <v>1.8880955083247757</v>
      </c>
      <c r="U316" s="81">
        <f t="shared" si="64"/>
        <v>4.4073036465469109</v>
      </c>
      <c r="V316" s="330">
        <f t="shared" si="65"/>
        <v>391.76032413750318</v>
      </c>
      <c r="W316" s="330">
        <f t="shared" si="66"/>
        <v>665.26459764177673</v>
      </c>
    </row>
    <row r="317" spans="1:23" ht="45">
      <c r="A317" s="62" t="s">
        <v>363</v>
      </c>
      <c r="B317" s="58">
        <f t="shared" si="67"/>
        <v>25.458916401687247</v>
      </c>
      <c r="C317" s="76">
        <f t="shared" si="68"/>
        <v>9</v>
      </c>
      <c r="D317" s="58">
        <f t="shared" si="56"/>
        <v>37.706512457973133</v>
      </c>
      <c r="E317" s="126">
        <f t="shared" si="57"/>
        <v>9</v>
      </c>
      <c r="F317" s="58">
        <f t="shared" si="58"/>
        <v>3.383855678405205</v>
      </c>
      <c r="G317" s="58">
        <f t="shared" si="59"/>
        <v>5.2098813632303296</v>
      </c>
      <c r="H317" s="126">
        <f t="shared" si="60"/>
        <v>3.383855678405205</v>
      </c>
      <c r="I317" s="126">
        <f t="shared" si="61"/>
        <v>7.3838556784052045</v>
      </c>
      <c r="K317" s="81">
        <f t="shared" si="54"/>
        <v>9</v>
      </c>
      <c r="L317" s="81">
        <f t="shared" si="62"/>
        <v>9</v>
      </c>
      <c r="M317" s="81">
        <f t="shared" si="62"/>
        <v>9</v>
      </c>
      <c r="N317" s="81">
        <f t="shared" si="62"/>
        <v>9</v>
      </c>
      <c r="O317" s="81">
        <f t="shared" si="62"/>
        <v>9</v>
      </c>
      <c r="P317"/>
      <c r="Q317" s="81">
        <f t="shared" si="63"/>
        <v>1.5617795438793252</v>
      </c>
      <c r="R317" s="81">
        <f t="shared" si="63"/>
        <v>1.8220761345258794</v>
      </c>
      <c r="S317" s="81">
        <f t="shared" si="63"/>
        <v>2.082372725172434</v>
      </c>
      <c r="T317" s="81">
        <f t="shared" si="63"/>
        <v>2.3426693158189877</v>
      </c>
      <c r="U317" s="81">
        <f t="shared" si="64"/>
        <v>3.9922644840561721</v>
      </c>
      <c r="V317" s="330">
        <f t="shared" si="65"/>
        <v>354.86795413832641</v>
      </c>
      <c r="W317" s="330">
        <f t="shared" si="66"/>
        <v>628.3722276425998</v>
      </c>
    </row>
    <row r="318" spans="1:23" ht="45.75" thickBot="1">
      <c r="A318" s="62" t="s">
        <v>364</v>
      </c>
      <c r="B318" s="58">
        <f t="shared" si="67"/>
        <v>15.415490665241817</v>
      </c>
      <c r="C318" s="76">
        <f>IF(AND($B$42=$V$16,$B$44=3),0,6)</f>
        <v>6</v>
      </c>
      <c r="D318" s="58">
        <f t="shared" si="56"/>
        <v>22.391516755529722</v>
      </c>
      <c r="E318" s="126">
        <f t="shared" si="57"/>
        <v>6</v>
      </c>
      <c r="F318" s="58">
        <f t="shared" si="58"/>
        <v>2.8959392357891027</v>
      </c>
      <c r="G318" s="58">
        <f t="shared" si="59"/>
        <v>4.4520867950019305</v>
      </c>
      <c r="H318" s="126">
        <f t="shared" si="60"/>
        <v>2.8959392357891027</v>
      </c>
      <c r="I318" s="126">
        <f t="shared" si="61"/>
        <v>6.8959392357891023</v>
      </c>
      <c r="K318" s="81">
        <f t="shared" si="54"/>
        <v>6</v>
      </c>
      <c r="L318" s="81">
        <f t="shared" si="62"/>
        <v>6</v>
      </c>
      <c r="M318" s="81">
        <f t="shared" si="62"/>
        <v>6</v>
      </c>
      <c r="N318" s="81">
        <f t="shared" si="62"/>
        <v>6</v>
      </c>
      <c r="O318" s="81">
        <f t="shared" si="62"/>
        <v>6</v>
      </c>
      <c r="P318"/>
      <c r="Q318" s="81">
        <f t="shared" si="63"/>
        <v>1.3365873395949703</v>
      </c>
      <c r="R318" s="81">
        <f t="shared" si="63"/>
        <v>1.5593518961941319</v>
      </c>
      <c r="S318" s="81">
        <f t="shared" si="63"/>
        <v>1.782116452793294</v>
      </c>
      <c r="T318" s="81">
        <f t="shared" si="63"/>
        <v>2.0048810093924558</v>
      </c>
      <c r="U318" s="235">
        <f t="shared" si="64"/>
        <v>3.6563346520838209</v>
      </c>
      <c r="V318" s="331">
        <f t="shared" si="65"/>
        <v>325.0075246296729</v>
      </c>
      <c r="W318" s="331">
        <f t="shared" si="66"/>
        <v>598.51179813394651</v>
      </c>
    </row>
    <row r="319" spans="1:23" ht="45.75" thickTop="1">
      <c r="A319" s="62" t="s">
        <v>365</v>
      </c>
      <c r="B319" s="58">
        <f t="shared" si="67"/>
        <v>23.590372078627627</v>
      </c>
      <c r="C319" s="76">
        <f>IF(AND($B$42=$V$16,$B$44=3),0,7.5)</f>
        <v>7.5</v>
      </c>
      <c r="D319" s="58">
        <f t="shared" si="56"/>
        <v>34.720522818787899</v>
      </c>
      <c r="E319" s="126">
        <f t="shared" si="57"/>
        <v>7.5</v>
      </c>
      <c r="F319" s="58">
        <f t="shared" si="58"/>
        <v>4.3462101466486533</v>
      </c>
      <c r="G319" s="58">
        <f t="shared" si="59"/>
        <v>6.6855380114436862</v>
      </c>
      <c r="H319" s="126">
        <f t="shared" si="60"/>
        <v>4.3462101466486533</v>
      </c>
      <c r="I319" s="126">
        <f t="shared" si="61"/>
        <v>8.3462101466486533</v>
      </c>
      <c r="K319" s="81">
        <f t="shared" si="54"/>
        <v>7.5</v>
      </c>
      <c r="L319" s="81">
        <f t="shared" si="62"/>
        <v>7.5</v>
      </c>
      <c r="M319" s="81">
        <f t="shared" si="62"/>
        <v>7.5</v>
      </c>
      <c r="N319" s="81">
        <f t="shared" si="62"/>
        <v>7.5</v>
      </c>
      <c r="O319" s="81">
        <f t="shared" si="62"/>
        <v>7.5</v>
      </c>
      <c r="P319"/>
      <c r="Q319" s="81">
        <f t="shared" si="63"/>
        <v>2.0059431446070706</v>
      </c>
      <c r="R319" s="81">
        <f t="shared" si="63"/>
        <v>2.3402670020415823</v>
      </c>
      <c r="S319" s="81">
        <f t="shared" si="63"/>
        <v>2.6745908594760945</v>
      </c>
      <c r="T319" s="81">
        <f t="shared" si="63"/>
        <v>3.0089147169106063</v>
      </c>
      <c r="U319" s="236">
        <f t="shared" si="64"/>
        <v>1.8</v>
      </c>
      <c r="V319" s="328"/>
    </row>
    <row r="320" spans="1:23" ht="45">
      <c r="A320" s="62" t="s">
        <v>366</v>
      </c>
      <c r="B320" s="58">
        <f t="shared" si="67"/>
        <v>31.99882153239589</v>
      </c>
      <c r="C320" s="76">
        <f>IF(AND($B$42=$V$16,$B$44=3),0,9)</f>
        <v>9</v>
      </c>
      <c r="D320" s="58">
        <f t="shared" si="56"/>
        <v>47.298913774104406</v>
      </c>
      <c r="E320" s="126">
        <f t="shared" si="57"/>
        <v>9</v>
      </c>
      <c r="F320" s="58">
        <f t="shared" si="58"/>
        <v>5.7294947405109848</v>
      </c>
      <c r="G320" s="58">
        <f t="shared" si="59"/>
        <v>8.8154832035508512</v>
      </c>
      <c r="H320" s="126">
        <f>MIN(F320:G320,C320)</f>
        <v>5.7294947405109848</v>
      </c>
      <c r="I320" s="126">
        <f t="shared" si="61"/>
        <v>9.7294947405109848</v>
      </c>
      <c r="K320" s="81">
        <f t="shared" si="54"/>
        <v>9</v>
      </c>
      <c r="L320" s="81">
        <f t="shared" si="62"/>
        <v>9</v>
      </c>
      <c r="M320" s="81">
        <f t="shared" si="62"/>
        <v>9</v>
      </c>
      <c r="N320" s="81">
        <f t="shared" si="62"/>
        <v>9</v>
      </c>
      <c r="O320" s="81">
        <f t="shared" si="62"/>
        <v>9</v>
      </c>
      <c r="P320"/>
      <c r="Q320" s="81">
        <f t="shared" si="63"/>
        <v>2.6443821879281466</v>
      </c>
      <c r="R320" s="81">
        <f t="shared" si="63"/>
        <v>3.0851125525828378</v>
      </c>
      <c r="S320" s="81">
        <f t="shared" si="63"/>
        <v>3.5258429172375294</v>
      </c>
      <c r="T320" s="81">
        <f t="shared" si="63"/>
        <v>3.9665732818922201</v>
      </c>
      <c r="U320" s="81">
        <f t="shared" si="64"/>
        <v>3.6</v>
      </c>
      <c r="V320" s="329"/>
    </row>
    <row r="321" spans="1:22" ht="45">
      <c r="A321" s="62" t="s">
        <v>367</v>
      </c>
      <c r="B321" s="58">
        <f t="shared" si="67"/>
        <v>31.99882153239589</v>
      </c>
      <c r="C321" s="76">
        <f t="shared" ref="C321:C322" si="69">IF(AND($B$42=$V$16,$B$44=3),0,9)</f>
        <v>9</v>
      </c>
      <c r="D321" s="58">
        <f t="shared" si="56"/>
        <v>47.298913774104406</v>
      </c>
      <c r="E321" s="126">
        <f t="shared" si="57"/>
        <v>9</v>
      </c>
      <c r="F321" s="58">
        <f t="shared" si="58"/>
        <v>5.189943829273024</v>
      </c>
      <c r="G321" s="58">
        <f t="shared" si="59"/>
        <v>7.9873047380207698</v>
      </c>
      <c r="H321" s="126">
        <f t="shared" ref="H321:H333" si="70">MIN(F321:G321,C321)</f>
        <v>5.189943829273024</v>
      </c>
      <c r="I321" s="126">
        <f t="shared" si="61"/>
        <v>9.1899438292730231</v>
      </c>
      <c r="K321" s="81">
        <f t="shared" si="54"/>
        <v>9</v>
      </c>
      <c r="L321" s="81">
        <f t="shared" si="62"/>
        <v>9</v>
      </c>
      <c r="M321" s="81">
        <f t="shared" si="62"/>
        <v>9</v>
      </c>
      <c r="N321" s="81">
        <f t="shared" si="62"/>
        <v>9</v>
      </c>
      <c r="O321" s="81">
        <f t="shared" si="62"/>
        <v>9</v>
      </c>
      <c r="P321"/>
      <c r="Q321" s="81">
        <f t="shared" si="63"/>
        <v>2.3953586904337034</v>
      </c>
      <c r="R321" s="81">
        <f t="shared" si="63"/>
        <v>2.7945851388393201</v>
      </c>
      <c r="S321" s="81">
        <f t="shared" si="63"/>
        <v>3.1938115872449377</v>
      </c>
      <c r="T321" s="81">
        <f t="shared" si="63"/>
        <v>3.5930380356505549</v>
      </c>
      <c r="U321" s="81">
        <f t="shared" si="64"/>
        <v>4.5</v>
      </c>
      <c r="V321" s="329"/>
    </row>
    <row r="322" spans="1:22" ht="45.75" thickBot="1">
      <c r="A322" s="283" t="s">
        <v>368</v>
      </c>
      <c r="B322" s="323">
        <f t="shared" si="67"/>
        <v>31.99882153239589</v>
      </c>
      <c r="C322" s="573">
        <f t="shared" si="69"/>
        <v>9</v>
      </c>
      <c r="D322" s="323">
        <f t="shared" si="56"/>
        <v>47.298913774104406</v>
      </c>
      <c r="E322" s="324">
        <f t="shared" si="57"/>
        <v>9</v>
      </c>
      <c r="F322" s="323">
        <f t="shared" si="58"/>
        <v>4.7532350477089675</v>
      </c>
      <c r="G322" s="323">
        <f t="shared" si="59"/>
        <v>7.3165504773545376</v>
      </c>
      <c r="H322" s="324">
        <f t="shared" si="70"/>
        <v>4.7532350477089675</v>
      </c>
      <c r="I322" s="324">
        <f t="shared" si="61"/>
        <v>8.7532350477089675</v>
      </c>
      <c r="K322" s="235">
        <f t="shared" si="54"/>
        <v>9</v>
      </c>
      <c r="L322" s="235">
        <f t="shared" si="62"/>
        <v>9</v>
      </c>
      <c r="M322" s="235">
        <f t="shared" si="62"/>
        <v>9</v>
      </c>
      <c r="N322" s="235">
        <f t="shared" si="62"/>
        <v>9</v>
      </c>
      <c r="O322" s="235">
        <f t="shared" si="62"/>
        <v>9</v>
      </c>
      <c r="P322"/>
      <c r="Q322" s="235">
        <f t="shared" si="63"/>
        <v>2.1938007912502924</v>
      </c>
      <c r="R322" s="235">
        <f t="shared" si="63"/>
        <v>2.5594342564586743</v>
      </c>
      <c r="S322" s="235">
        <f t="shared" si="63"/>
        <v>2.9250677216670571</v>
      </c>
      <c r="T322" s="235">
        <f t="shared" si="63"/>
        <v>3.290701186875439</v>
      </c>
      <c r="U322" s="81">
        <f t="shared" si="64"/>
        <v>5.4</v>
      </c>
      <c r="V322" s="329"/>
    </row>
    <row r="323" spans="1:22" ht="45.75" thickTop="1">
      <c r="A323" s="259" t="s">
        <v>369</v>
      </c>
      <c r="B323" s="325">
        <f t="shared" si="67"/>
        <v>6.5399051307086493</v>
      </c>
      <c r="C323" s="76">
        <f>IF(AND($B$42=$V$16,$B$44=3),0,1.8)</f>
        <v>1.8</v>
      </c>
      <c r="D323" s="325">
        <f t="shared" si="56"/>
        <v>9.2330305421811047</v>
      </c>
      <c r="E323" s="326">
        <f t="shared" si="57"/>
        <v>1.8</v>
      </c>
      <c r="F323" s="325">
        <f t="shared" si="58"/>
        <v>6.5399051307086493</v>
      </c>
      <c r="G323" s="325">
        <f t="shared" si="59"/>
        <v>9.2330305421811047</v>
      </c>
      <c r="H323" s="326">
        <f t="shared" si="70"/>
        <v>1.8</v>
      </c>
      <c r="I323" s="326">
        <f t="shared" si="61"/>
        <v>5.8</v>
      </c>
      <c r="K323" s="236">
        <f t="shared" si="54"/>
        <v>1.8</v>
      </c>
      <c r="L323" s="236">
        <f t="shared" si="62"/>
        <v>1.8</v>
      </c>
      <c r="M323" s="236">
        <f t="shared" si="62"/>
        <v>1.8</v>
      </c>
      <c r="N323" s="236">
        <f t="shared" si="62"/>
        <v>1.8</v>
      </c>
      <c r="O323" s="236">
        <f t="shared" si="62"/>
        <v>1.8</v>
      </c>
      <c r="P323"/>
      <c r="Q323" s="236">
        <f t="shared" si="63"/>
        <v>1.8</v>
      </c>
      <c r="R323" s="236">
        <f t="shared" si="63"/>
        <v>1.8</v>
      </c>
      <c r="S323" s="236">
        <f t="shared" si="63"/>
        <v>1.8</v>
      </c>
      <c r="T323" s="236">
        <f t="shared" si="63"/>
        <v>1.8</v>
      </c>
      <c r="U323" s="81">
        <f t="shared" si="64"/>
        <v>5.4</v>
      </c>
      <c r="V323" s="329"/>
    </row>
    <row r="324" spans="1:22" ht="45">
      <c r="A324" s="62" t="s">
        <v>370</v>
      </c>
      <c r="B324" s="58">
        <f t="shared" si="67"/>
        <v>8.8755855345331689</v>
      </c>
      <c r="C324" s="76">
        <f>IF(AND($B$42=$V$16,$B$44=3),0,3.6)</f>
        <v>3.6</v>
      </c>
      <c r="D324" s="58">
        <f t="shared" si="56"/>
        <v>12.217209267647137</v>
      </c>
      <c r="E324" s="126">
        <f t="shared" si="57"/>
        <v>3.6</v>
      </c>
      <c r="F324" s="58">
        <f t="shared" si="58"/>
        <v>8.8755855345331689</v>
      </c>
      <c r="G324" s="58">
        <f t="shared" si="59"/>
        <v>12.217209267647137</v>
      </c>
      <c r="H324" s="126">
        <f t="shared" si="70"/>
        <v>3.6</v>
      </c>
      <c r="I324" s="126">
        <f t="shared" si="61"/>
        <v>7.6</v>
      </c>
      <c r="K324" s="81">
        <f t="shared" si="54"/>
        <v>3.6</v>
      </c>
      <c r="L324" s="81">
        <f t="shared" si="62"/>
        <v>3.6</v>
      </c>
      <c r="M324" s="81">
        <f t="shared" si="62"/>
        <v>3.6</v>
      </c>
      <c r="N324" s="81">
        <f t="shared" si="62"/>
        <v>3.6</v>
      </c>
      <c r="O324" s="81">
        <f t="shared" si="62"/>
        <v>3.6</v>
      </c>
      <c r="P324"/>
      <c r="Q324" s="81">
        <f t="shared" si="63"/>
        <v>3.6</v>
      </c>
      <c r="R324" s="81">
        <f t="shared" si="63"/>
        <v>3.6</v>
      </c>
      <c r="S324" s="81">
        <f t="shared" si="63"/>
        <v>3.6</v>
      </c>
      <c r="T324" s="81">
        <f t="shared" si="63"/>
        <v>3.6</v>
      </c>
      <c r="U324" s="81">
        <f t="shared" si="64"/>
        <v>5.4</v>
      </c>
      <c r="V324" s="329"/>
    </row>
    <row r="325" spans="1:22" ht="45">
      <c r="A325" s="62" t="s">
        <v>371</v>
      </c>
      <c r="B325" s="58">
        <f t="shared" si="67"/>
        <v>13.079810261417299</v>
      </c>
      <c r="C325" s="76">
        <f>IF(AND($B$42=$V$16,$B$44=3),0,4.5)</f>
        <v>4.5</v>
      </c>
      <c r="D325" s="58">
        <f t="shared" si="56"/>
        <v>18.460624437427914</v>
      </c>
      <c r="E325" s="126">
        <f t="shared" si="57"/>
        <v>4.5</v>
      </c>
      <c r="F325" s="58">
        <f t="shared" si="58"/>
        <v>13.079810261417299</v>
      </c>
      <c r="G325" s="58">
        <f t="shared" si="59"/>
        <v>18.460624437427914</v>
      </c>
      <c r="H325" s="126">
        <f t="shared" si="70"/>
        <v>4.5</v>
      </c>
      <c r="I325" s="126">
        <f t="shared" si="61"/>
        <v>8.5</v>
      </c>
      <c r="K325" s="81">
        <f t="shared" si="54"/>
        <v>4.5</v>
      </c>
      <c r="L325" s="81">
        <f t="shared" si="62"/>
        <v>4.5</v>
      </c>
      <c r="M325" s="81">
        <f t="shared" si="62"/>
        <v>4.5</v>
      </c>
      <c r="N325" s="81">
        <f t="shared" si="62"/>
        <v>4.5</v>
      </c>
      <c r="O325" s="81">
        <f t="shared" si="62"/>
        <v>4.5</v>
      </c>
      <c r="P325"/>
      <c r="Q325" s="81">
        <f t="shared" si="63"/>
        <v>4.5</v>
      </c>
      <c r="R325" s="81">
        <f t="shared" si="63"/>
        <v>4.5</v>
      </c>
      <c r="S325" s="81">
        <f t="shared" si="63"/>
        <v>4.5</v>
      </c>
      <c r="T325" s="81">
        <f t="shared" si="63"/>
        <v>4.5</v>
      </c>
      <c r="U325" s="81">
        <f t="shared" si="64"/>
        <v>3.6</v>
      </c>
      <c r="V325" s="329"/>
    </row>
    <row r="326" spans="1:22" ht="45">
      <c r="A326" s="62" t="s">
        <v>372</v>
      </c>
      <c r="B326" s="58">
        <f t="shared" si="67"/>
        <v>17.050466947918981</v>
      </c>
      <c r="C326" s="76">
        <f>IF(AND($B$42=$V$16,$B$44=3),0,5.4)</f>
        <v>5.4</v>
      </c>
      <c r="D326" s="58">
        <f t="shared" si="56"/>
        <v>24.357853816270559</v>
      </c>
      <c r="E326" s="126">
        <f t="shared" si="57"/>
        <v>5.4</v>
      </c>
      <c r="F326" s="58">
        <f t="shared" si="58"/>
        <v>17.050466947918981</v>
      </c>
      <c r="G326" s="58">
        <f t="shared" si="59"/>
        <v>24.357853816270559</v>
      </c>
      <c r="H326" s="126">
        <f t="shared" si="70"/>
        <v>5.4</v>
      </c>
      <c r="I326" s="126">
        <f t="shared" si="61"/>
        <v>9.4</v>
      </c>
      <c r="K326" s="81">
        <f t="shared" si="54"/>
        <v>5.4</v>
      </c>
      <c r="L326" s="81">
        <f t="shared" si="62"/>
        <v>5.4</v>
      </c>
      <c r="M326" s="81">
        <f t="shared" si="62"/>
        <v>5.4</v>
      </c>
      <c r="N326" s="81">
        <f t="shared" si="62"/>
        <v>5.4</v>
      </c>
      <c r="O326" s="81">
        <f t="shared" si="62"/>
        <v>5.4</v>
      </c>
      <c r="P326"/>
      <c r="Q326" s="81">
        <f t="shared" si="63"/>
        <v>5.4</v>
      </c>
      <c r="R326" s="81">
        <f t="shared" si="63"/>
        <v>5.4</v>
      </c>
      <c r="S326" s="81">
        <f t="shared" si="63"/>
        <v>5.4</v>
      </c>
      <c r="T326" s="81">
        <f t="shared" si="63"/>
        <v>5.4</v>
      </c>
      <c r="U326" s="81">
        <f t="shared" si="64"/>
        <v>4.5</v>
      </c>
      <c r="V326" s="329"/>
    </row>
    <row r="327" spans="1:22" ht="45">
      <c r="A327" s="62" t="s">
        <v>373</v>
      </c>
      <c r="B327" s="58">
        <f t="shared" si="67"/>
        <v>21.254691674803112</v>
      </c>
      <c r="C327" s="76">
        <f t="shared" ref="C327:C328" si="71">IF(AND($B$42=$V$16,$B$44=3),0,5.4)</f>
        <v>5.4</v>
      </c>
      <c r="D327" s="58">
        <f t="shared" si="56"/>
        <v>30.512776920174119</v>
      </c>
      <c r="E327" s="126">
        <f t="shared" si="57"/>
        <v>5.4</v>
      </c>
      <c r="F327" s="58">
        <f t="shared" si="58"/>
        <v>21.254691674803112</v>
      </c>
      <c r="G327" s="58">
        <f t="shared" si="59"/>
        <v>30.512776920174119</v>
      </c>
      <c r="H327" s="126">
        <f t="shared" si="70"/>
        <v>5.4</v>
      </c>
      <c r="I327" s="126">
        <f t="shared" si="61"/>
        <v>9.4</v>
      </c>
      <c r="K327" s="81">
        <f t="shared" si="54"/>
        <v>5.4</v>
      </c>
      <c r="L327" s="81">
        <f t="shared" si="62"/>
        <v>5.4</v>
      </c>
      <c r="M327" s="81">
        <f t="shared" si="62"/>
        <v>5.4</v>
      </c>
      <c r="N327" s="81">
        <f t="shared" si="62"/>
        <v>5.4</v>
      </c>
      <c r="O327" s="81">
        <f t="shared" si="62"/>
        <v>5.4</v>
      </c>
      <c r="P327"/>
      <c r="Q327" s="81">
        <f t="shared" si="63"/>
        <v>5.4</v>
      </c>
      <c r="R327" s="81">
        <f t="shared" si="63"/>
        <v>5.4</v>
      </c>
      <c r="S327" s="81">
        <f t="shared" si="63"/>
        <v>5.4</v>
      </c>
      <c r="T327" s="81">
        <f t="shared" si="63"/>
        <v>5.4</v>
      </c>
      <c r="U327" s="81">
        <f t="shared" si="64"/>
        <v>5.4</v>
      </c>
      <c r="V327" s="329"/>
    </row>
    <row r="328" spans="1:22" ht="45">
      <c r="A328" s="62" t="s">
        <v>374</v>
      </c>
      <c r="B328" s="58">
        <f t="shared" si="67"/>
        <v>25.458916401687247</v>
      </c>
      <c r="C328" s="76">
        <f t="shared" si="71"/>
        <v>5.4</v>
      </c>
      <c r="D328" s="58">
        <f t="shared" si="56"/>
        <v>36.658825363232978</v>
      </c>
      <c r="E328" s="126">
        <f t="shared" si="57"/>
        <v>5.4</v>
      </c>
      <c r="F328" s="58">
        <f t="shared" si="58"/>
        <v>25.458916401687247</v>
      </c>
      <c r="G328" s="58">
        <f t="shared" si="59"/>
        <v>36.658825363232978</v>
      </c>
      <c r="H328" s="126">
        <f t="shared" si="70"/>
        <v>5.4</v>
      </c>
      <c r="I328" s="126">
        <f t="shared" si="61"/>
        <v>9.4</v>
      </c>
      <c r="K328" s="81">
        <f t="shared" si="54"/>
        <v>5.4</v>
      </c>
      <c r="L328" s="81">
        <f t="shared" si="62"/>
        <v>5.4</v>
      </c>
      <c r="M328" s="81">
        <f t="shared" si="62"/>
        <v>5.4</v>
      </c>
      <c r="N328" s="81">
        <f t="shared" si="62"/>
        <v>5.4</v>
      </c>
      <c r="O328" s="81">
        <f t="shared" si="62"/>
        <v>5.4</v>
      </c>
      <c r="P328"/>
      <c r="Q328" s="81">
        <f t="shared" si="63"/>
        <v>5.4</v>
      </c>
      <c r="R328" s="81">
        <f t="shared" si="63"/>
        <v>5.4</v>
      </c>
      <c r="S328" s="81">
        <f t="shared" si="63"/>
        <v>5.4</v>
      </c>
      <c r="T328" s="81">
        <f t="shared" si="63"/>
        <v>5.4</v>
      </c>
      <c r="U328" s="81">
        <f t="shared" si="64"/>
        <v>5.4</v>
      </c>
      <c r="V328" s="329"/>
    </row>
    <row r="329" spans="1:22" ht="45">
      <c r="A329" s="62" t="s">
        <v>375</v>
      </c>
      <c r="B329" s="58">
        <f t="shared" si="67"/>
        <v>15.415490665241817</v>
      </c>
      <c r="C329" s="76">
        <f>IF(AND($B$42=$V$16,$B$44=3),0,3.6)</f>
        <v>3.6</v>
      </c>
      <c r="D329" s="58">
        <f t="shared" si="56"/>
        <v>21.473372743639604</v>
      </c>
      <c r="E329" s="126">
        <f t="shared" si="57"/>
        <v>3.6</v>
      </c>
      <c r="F329" s="58">
        <f t="shared" si="58"/>
        <v>15.415490665241817</v>
      </c>
      <c r="G329" s="58">
        <f t="shared" si="59"/>
        <v>21.473372743639604</v>
      </c>
      <c r="H329" s="126">
        <f t="shared" si="70"/>
        <v>3.6</v>
      </c>
      <c r="I329" s="126">
        <f t="shared" si="61"/>
        <v>7.6</v>
      </c>
      <c r="K329" s="81">
        <f t="shared" si="54"/>
        <v>3.6</v>
      </c>
      <c r="L329" s="81">
        <f t="shared" si="62"/>
        <v>3.6</v>
      </c>
      <c r="M329" s="81">
        <f t="shared" si="62"/>
        <v>3.6</v>
      </c>
      <c r="N329" s="81">
        <f t="shared" si="62"/>
        <v>3.6</v>
      </c>
      <c r="O329" s="81">
        <f t="shared" si="62"/>
        <v>3.6</v>
      </c>
      <c r="P329"/>
      <c r="Q329" s="81">
        <f t="shared" si="63"/>
        <v>3.6</v>
      </c>
      <c r="R329" s="81">
        <f t="shared" si="63"/>
        <v>3.6</v>
      </c>
      <c r="S329" s="81">
        <f t="shared" si="63"/>
        <v>3.6</v>
      </c>
      <c r="T329" s="81">
        <f t="shared" si="63"/>
        <v>3.6</v>
      </c>
      <c r="U329" s="81">
        <f t="shared" si="64"/>
        <v>5.4</v>
      </c>
      <c r="V329" s="329"/>
    </row>
    <row r="330" spans="1:22" ht="45">
      <c r="A330" s="62" t="s">
        <v>376</v>
      </c>
      <c r="B330" s="58">
        <f t="shared" si="67"/>
        <v>23.590372078627627</v>
      </c>
      <c r="C330" s="76">
        <f>IF(AND($B$42=$V$16,$B$44=3),0,4.5)</f>
        <v>4.5</v>
      </c>
      <c r="D330" s="58">
        <f t="shared" si="56"/>
        <v>33.608033043901308</v>
      </c>
      <c r="E330" s="126">
        <f t="shared" si="57"/>
        <v>4.5</v>
      </c>
      <c r="F330" s="58">
        <f t="shared" si="58"/>
        <v>23.590372078627627</v>
      </c>
      <c r="G330" s="58">
        <f t="shared" si="59"/>
        <v>33.608033043901308</v>
      </c>
      <c r="H330" s="126">
        <f t="shared" si="70"/>
        <v>4.5</v>
      </c>
      <c r="I330" s="126">
        <f t="shared" si="61"/>
        <v>8.5</v>
      </c>
      <c r="K330" s="81">
        <f t="shared" si="54"/>
        <v>4.5</v>
      </c>
      <c r="L330" s="81">
        <f t="shared" si="62"/>
        <v>4.5</v>
      </c>
      <c r="M330" s="81">
        <f t="shared" si="62"/>
        <v>4.5</v>
      </c>
      <c r="N330" s="81">
        <f t="shared" si="62"/>
        <v>4.5</v>
      </c>
      <c r="O330" s="81">
        <f t="shared" si="62"/>
        <v>4.5</v>
      </c>
      <c r="P330"/>
      <c r="Q330" s="81">
        <f t="shared" si="63"/>
        <v>4.5</v>
      </c>
      <c r="R330" s="81">
        <f t="shared" si="63"/>
        <v>4.5</v>
      </c>
      <c r="S330" s="81">
        <f t="shared" si="63"/>
        <v>4.5</v>
      </c>
      <c r="T330" s="81">
        <f t="shared" si="63"/>
        <v>4.5</v>
      </c>
      <c r="U330" s="105"/>
    </row>
    <row r="331" spans="1:22" ht="45">
      <c r="A331" s="62" t="s">
        <v>377</v>
      </c>
      <c r="B331" s="58">
        <f t="shared" si="67"/>
        <v>31.99882153239589</v>
      </c>
      <c r="C331" s="76">
        <f>IF(AND($B$42=$V$16,$B$44=3),0,5.4)</f>
        <v>5.4</v>
      </c>
      <c r="D331" s="58">
        <f t="shared" si="56"/>
        <v>45.904378693838133</v>
      </c>
      <c r="E331" s="126">
        <f t="shared" si="57"/>
        <v>5.4</v>
      </c>
      <c r="F331" s="58">
        <f t="shared" si="58"/>
        <v>31.99882153239589</v>
      </c>
      <c r="G331" s="58">
        <f t="shared" si="59"/>
        <v>45.904378693838133</v>
      </c>
      <c r="H331" s="126">
        <f t="shared" si="70"/>
        <v>5.4</v>
      </c>
      <c r="I331" s="126">
        <f t="shared" si="61"/>
        <v>9.4</v>
      </c>
      <c r="K331" s="81">
        <f t="shared" si="54"/>
        <v>5.4</v>
      </c>
      <c r="L331" s="81">
        <f t="shared" si="62"/>
        <v>5.4</v>
      </c>
      <c r="M331" s="81">
        <f t="shared" si="62"/>
        <v>5.4</v>
      </c>
      <c r="N331" s="81">
        <f t="shared" si="62"/>
        <v>5.4</v>
      </c>
      <c r="O331" s="81">
        <f t="shared" si="62"/>
        <v>5.4</v>
      </c>
      <c r="P331"/>
      <c r="Q331" s="81">
        <f t="shared" si="63"/>
        <v>5.4</v>
      </c>
      <c r="R331" s="81">
        <f t="shared" si="63"/>
        <v>5.4</v>
      </c>
      <c r="S331" s="81">
        <f t="shared" si="63"/>
        <v>5.4</v>
      </c>
      <c r="T331" s="81">
        <f t="shared" si="63"/>
        <v>5.4</v>
      </c>
      <c r="U331" s="105"/>
    </row>
    <row r="332" spans="1:22" ht="45">
      <c r="A332" s="62" t="s">
        <v>378</v>
      </c>
      <c r="B332" s="58">
        <f t="shared" si="67"/>
        <v>31.99882153239589</v>
      </c>
      <c r="C332" s="76">
        <f t="shared" ref="C332:C333" si="72">IF(AND($B$42=$V$16,$B$44=3),0,5.4)</f>
        <v>5.4</v>
      </c>
      <c r="D332" s="58">
        <f t="shared" si="56"/>
        <v>45.904378693838133</v>
      </c>
      <c r="E332" s="126">
        <f t="shared" si="57"/>
        <v>5.4</v>
      </c>
      <c r="F332" s="58">
        <f t="shared" si="58"/>
        <v>31.99882153239589</v>
      </c>
      <c r="G332" s="58">
        <f t="shared" si="59"/>
        <v>45.904378693838133</v>
      </c>
      <c r="H332" s="126">
        <f t="shared" si="70"/>
        <v>5.4</v>
      </c>
      <c r="I332" s="126">
        <f t="shared" si="61"/>
        <v>9.4</v>
      </c>
      <c r="K332" s="81">
        <f t="shared" si="54"/>
        <v>5.4</v>
      </c>
      <c r="L332" s="81">
        <f t="shared" si="62"/>
        <v>5.4</v>
      </c>
      <c r="M332" s="81">
        <f t="shared" si="62"/>
        <v>5.4</v>
      </c>
      <c r="N332" s="81">
        <f t="shared" si="62"/>
        <v>5.4</v>
      </c>
      <c r="O332" s="81">
        <f t="shared" si="62"/>
        <v>5.4</v>
      </c>
      <c r="P332"/>
      <c r="Q332" s="81">
        <f t="shared" si="63"/>
        <v>5.4</v>
      </c>
      <c r="R332" s="81">
        <f t="shared" si="63"/>
        <v>5.4</v>
      </c>
      <c r="S332" s="81">
        <f t="shared" si="63"/>
        <v>5.4</v>
      </c>
      <c r="T332" s="81">
        <f t="shared" si="63"/>
        <v>5.4</v>
      </c>
    </row>
    <row r="333" spans="1:22" ht="45.75" thickBot="1">
      <c r="A333" s="283" t="s">
        <v>379</v>
      </c>
      <c r="B333" s="323">
        <f t="shared" si="67"/>
        <v>31.99882153239589</v>
      </c>
      <c r="C333" s="573">
        <f t="shared" si="72"/>
        <v>5.4</v>
      </c>
      <c r="D333" s="323">
        <f t="shared" si="56"/>
        <v>45.904378693838133</v>
      </c>
      <c r="E333" s="324">
        <f t="shared" si="57"/>
        <v>5.4</v>
      </c>
      <c r="F333" s="323">
        <f t="shared" si="58"/>
        <v>31.99882153239589</v>
      </c>
      <c r="G333" s="323">
        <f t="shared" si="59"/>
        <v>45.904378693838133</v>
      </c>
      <c r="H333" s="324">
        <f t="shared" si="70"/>
        <v>5.4</v>
      </c>
      <c r="I333" s="324">
        <f t="shared" si="61"/>
        <v>9.4</v>
      </c>
      <c r="K333" s="235">
        <f t="shared" si="54"/>
        <v>5.4</v>
      </c>
      <c r="L333" s="235">
        <f t="shared" si="62"/>
        <v>5.4</v>
      </c>
      <c r="M333" s="235">
        <f t="shared" si="62"/>
        <v>5.4</v>
      </c>
      <c r="N333" s="235">
        <f t="shared" si="62"/>
        <v>5.4</v>
      </c>
      <c r="O333" s="235">
        <f t="shared" si="62"/>
        <v>5.4</v>
      </c>
      <c r="P333"/>
      <c r="Q333" s="81">
        <f t="shared" si="63"/>
        <v>5.4</v>
      </c>
      <c r="R333" s="81">
        <f t="shared" si="63"/>
        <v>5.4</v>
      </c>
      <c r="S333" s="81">
        <f t="shared" si="63"/>
        <v>5.4</v>
      </c>
      <c r="T333" s="81">
        <f t="shared" si="63"/>
        <v>5.4</v>
      </c>
    </row>
    <row r="334" spans="1:22" ht="46.5" thickTop="1" thickBot="1">
      <c r="A334" s="259" t="s">
        <v>764</v>
      </c>
      <c r="B334" s="325">
        <f t="shared" si="67"/>
        <v>7.7077453326209087</v>
      </c>
      <c r="C334" s="76">
        <f>IF(AND($B$42=$V$16,$B$44=3),0,2.5)</f>
        <v>2.5</v>
      </c>
      <c r="D334" s="325">
        <f t="shared" si="56"/>
        <v>4.3257420407901845</v>
      </c>
      <c r="E334" s="326">
        <f t="shared" ref="E334:E337" si="73">MIN(B334,C334,D334)</f>
        <v>2.5</v>
      </c>
      <c r="F334" s="464"/>
      <c r="G334" s="465"/>
      <c r="H334" s="466"/>
      <c r="I334" s="466"/>
      <c r="K334" s="235">
        <f t="shared" ref="K334:O336" si="74">MIN(K$310*$B334/$B$340,$C334/$C$340,K$310*$D334/$D$340)</f>
        <v>1.9964963265185465</v>
      </c>
      <c r="L334" s="235">
        <f t="shared" si="74"/>
        <v>2.3292457142716376</v>
      </c>
      <c r="M334" s="235">
        <f t="shared" si="74"/>
        <v>2.5</v>
      </c>
      <c r="N334" s="235">
        <f t="shared" si="74"/>
        <v>2.5</v>
      </c>
      <c r="O334" s="235">
        <f t="shared" si="74"/>
        <v>2.5</v>
      </c>
      <c r="P334"/>
      <c r="Q334" s="105"/>
      <c r="R334" s="105"/>
      <c r="S334" s="105"/>
      <c r="T334" s="105"/>
    </row>
    <row r="335" spans="1:22" ht="46.5" thickTop="1" thickBot="1">
      <c r="A335" s="62" t="s">
        <v>765</v>
      </c>
      <c r="B335" s="58">
        <f t="shared" si="67"/>
        <v>9.3427216152980712</v>
      </c>
      <c r="C335" s="76">
        <f t="shared" ref="C335:C339" si="75">IF(AND($B$42=$V$16,$B$44=3),0,2.5)</f>
        <v>2.5</v>
      </c>
      <c r="D335" s="325">
        <f t="shared" si="56"/>
        <v>5.6998499553586548</v>
      </c>
      <c r="E335" s="326">
        <f t="shared" si="73"/>
        <v>2.5</v>
      </c>
      <c r="F335" s="467"/>
      <c r="G335" s="67"/>
      <c r="H335" s="468"/>
      <c r="I335" s="468"/>
      <c r="K335" s="235">
        <f t="shared" si="74"/>
        <v>2.5</v>
      </c>
      <c r="L335" s="235">
        <f t="shared" si="74"/>
        <v>2.5</v>
      </c>
      <c r="M335" s="235">
        <f t="shared" si="74"/>
        <v>2.5</v>
      </c>
      <c r="N335" s="235">
        <f t="shared" si="74"/>
        <v>2.5</v>
      </c>
      <c r="O335" s="235">
        <f t="shared" si="74"/>
        <v>2.5</v>
      </c>
      <c r="P335"/>
      <c r="Q335" s="105"/>
      <c r="R335" s="105"/>
      <c r="S335" s="105"/>
      <c r="T335" s="105"/>
    </row>
    <row r="336" spans="1:22" ht="46.5" thickTop="1" thickBot="1">
      <c r="A336" s="62" t="s">
        <v>766</v>
      </c>
      <c r="B336" s="58">
        <f t="shared" si="67"/>
        <v>9.3427216152980712</v>
      </c>
      <c r="C336" s="76">
        <f t="shared" si="75"/>
        <v>2.5</v>
      </c>
      <c r="D336" s="325">
        <f t="shared" si="56"/>
        <v>5.6998499553586548</v>
      </c>
      <c r="E336" s="326">
        <f t="shared" si="73"/>
        <v>2.5</v>
      </c>
      <c r="F336" s="467"/>
      <c r="G336" s="67"/>
      <c r="H336" s="468"/>
      <c r="I336" s="468"/>
      <c r="K336" s="235">
        <f t="shared" si="74"/>
        <v>2.5</v>
      </c>
      <c r="L336" s="235">
        <f t="shared" si="74"/>
        <v>2.5</v>
      </c>
      <c r="M336" s="235">
        <f t="shared" si="74"/>
        <v>2.5</v>
      </c>
      <c r="N336" s="235">
        <f t="shared" si="74"/>
        <v>2.5</v>
      </c>
      <c r="O336" s="235">
        <f t="shared" si="74"/>
        <v>2.5</v>
      </c>
      <c r="P336"/>
      <c r="Q336" s="105"/>
      <c r="R336" s="105"/>
      <c r="S336" s="105"/>
      <c r="T336" s="105"/>
    </row>
    <row r="337" spans="1:22" ht="46.5" thickTop="1" thickBot="1">
      <c r="A337" s="283" t="s">
        <v>767</v>
      </c>
      <c r="B337" s="323">
        <f t="shared" si="67"/>
        <v>10.977697897975233</v>
      </c>
      <c r="C337" s="573">
        <f t="shared" si="75"/>
        <v>2.5</v>
      </c>
      <c r="D337" s="323">
        <f t="shared" si="56"/>
        <v>8.1423948599315175</v>
      </c>
      <c r="E337" s="324">
        <f t="shared" si="73"/>
        <v>2.5</v>
      </c>
      <c r="F337" s="467"/>
      <c r="G337" s="67"/>
      <c r="H337" s="468"/>
      <c r="I337" s="468"/>
      <c r="K337" s="235">
        <f t="shared" ref="K337:O339" si="76">MIN(K$310*$B337/$B$340,$C337/$C$340,K$310*$D337/$D$340)</f>
        <v>2.5</v>
      </c>
      <c r="L337" s="235">
        <f t="shared" si="76"/>
        <v>2.5</v>
      </c>
      <c r="M337" s="235">
        <f t="shared" si="76"/>
        <v>2.5</v>
      </c>
      <c r="N337" s="235">
        <f t="shared" si="76"/>
        <v>2.5</v>
      </c>
      <c r="O337" s="235">
        <f t="shared" si="76"/>
        <v>2.5</v>
      </c>
      <c r="P337"/>
      <c r="Q337" s="105"/>
      <c r="R337" s="105"/>
      <c r="S337" s="105"/>
      <c r="T337" s="105"/>
    </row>
    <row r="338" spans="1:22" ht="45.75" thickTop="1">
      <c r="A338" s="259" t="s">
        <v>380</v>
      </c>
      <c r="B338" s="325">
        <f t="shared" si="67"/>
        <v>5.9937262203768435</v>
      </c>
      <c r="C338" s="76">
        <f>IF(AND($B$42=$V$16,$B$44=3),0,2.5)</f>
        <v>2.5</v>
      </c>
      <c r="D338" s="325">
        <f>I305</f>
        <v>1.1213768528916248</v>
      </c>
      <c r="E338" s="326">
        <f t="shared" si="57"/>
        <v>1.1213768528916248</v>
      </c>
      <c r="F338" s="467"/>
      <c r="G338" s="67"/>
      <c r="H338" s="468"/>
      <c r="I338" s="468"/>
      <c r="K338" s="236">
        <f t="shared" si="76"/>
        <v>0.51755854748844221</v>
      </c>
      <c r="L338" s="236">
        <f t="shared" si="76"/>
        <v>0.60381830540318249</v>
      </c>
      <c r="M338" s="236">
        <f t="shared" si="76"/>
        <v>0.69007806331792299</v>
      </c>
      <c r="N338" s="236">
        <f t="shared" si="76"/>
        <v>0.77633782123266337</v>
      </c>
      <c r="O338" s="236">
        <f t="shared" si="76"/>
        <v>0.86259757914740365</v>
      </c>
      <c r="P338"/>
      <c r="Q338" s="105"/>
      <c r="R338" s="105"/>
      <c r="S338" s="105"/>
      <c r="T338" s="105"/>
    </row>
    <row r="339" spans="1:22" ht="45">
      <c r="A339" s="259" t="s">
        <v>381</v>
      </c>
      <c r="B339" s="58">
        <f t="shared" si="67"/>
        <v>5.9937262203768435</v>
      </c>
      <c r="C339" s="76">
        <f t="shared" si="75"/>
        <v>2.5</v>
      </c>
      <c r="D339" s="58">
        <f>I306</f>
        <v>1.1213768528916248</v>
      </c>
      <c r="E339" s="126">
        <f t="shared" si="57"/>
        <v>1.1213768528916248</v>
      </c>
      <c r="F339" s="467"/>
      <c r="G339" s="67"/>
      <c r="H339" s="468"/>
      <c r="I339" s="468"/>
      <c r="K339" s="81">
        <f t="shared" si="76"/>
        <v>0.51755854748844221</v>
      </c>
      <c r="L339" s="81">
        <f t="shared" si="76"/>
        <v>0.60381830540318249</v>
      </c>
      <c r="M339" s="81">
        <f t="shared" si="76"/>
        <v>0.69007806331792299</v>
      </c>
      <c r="N339" s="81">
        <f t="shared" si="76"/>
        <v>0.77633782123266337</v>
      </c>
      <c r="O339" s="81">
        <f t="shared" si="76"/>
        <v>0.86259757914740365</v>
      </c>
      <c r="P339"/>
      <c r="Q339" s="105"/>
      <c r="R339" s="105"/>
      <c r="S339" s="105"/>
      <c r="T339" s="105"/>
      <c r="U339" s="446"/>
      <c r="V339" s="447"/>
    </row>
    <row r="340" spans="1:22" ht="18" customHeight="1">
      <c r="A340" s="232" t="s">
        <v>318</v>
      </c>
      <c r="B340" s="13">
        <v>1.3</v>
      </c>
      <c r="C340" s="230">
        <v>1</v>
      </c>
      <c r="D340" s="13">
        <v>1.3</v>
      </c>
      <c r="U340" s="449"/>
      <c r="V340" s="450"/>
    </row>
    <row r="341" spans="1:22" ht="18" customHeight="1">
      <c r="D341" s="92"/>
      <c r="U341" s="2"/>
      <c r="V341" s="451"/>
    </row>
    <row r="342" spans="1:22">
      <c r="A342" s="21" t="s">
        <v>198</v>
      </c>
      <c r="B342" s="20">
        <v>65</v>
      </c>
      <c r="C342" t="s">
        <v>62</v>
      </c>
      <c r="D342" s="92"/>
      <c r="U342" s="161">
        <v>0.8</v>
      </c>
      <c r="V342" s="161">
        <v>0.9</v>
      </c>
    </row>
    <row r="343" spans="1:22" ht="18">
      <c r="A343" s="21" t="s">
        <v>199</v>
      </c>
      <c r="B343">
        <f>16+B342/2</f>
        <v>48.5</v>
      </c>
      <c r="C343" t="s">
        <v>62</v>
      </c>
      <c r="D343" s="146" t="s">
        <v>200</v>
      </c>
      <c r="K343" s="708" t="s">
        <v>223</v>
      </c>
      <c r="L343" s="709"/>
      <c r="M343" s="709"/>
      <c r="N343" s="710"/>
      <c r="S343" s="445" t="s">
        <v>223</v>
      </c>
      <c r="T343" s="446"/>
      <c r="U343" s="81">
        <f t="shared" ref="U343:V353" si="77">($G347+$B$177)*U$361/1.3</f>
        <v>2.8813754116232744</v>
      </c>
      <c r="V343" s="81">
        <f t="shared" si="77"/>
        <v>3.2415473380761832</v>
      </c>
    </row>
    <row r="344" spans="1:22" ht="18">
      <c r="A344" s="21" t="s">
        <v>37</v>
      </c>
      <c r="B344" s="147">
        <f>B172</f>
        <v>385</v>
      </c>
      <c r="C344" t="s">
        <v>38</v>
      </c>
      <c r="D344" s="92"/>
      <c r="K344" s="712" t="s">
        <v>202</v>
      </c>
      <c r="L344" s="713"/>
      <c r="M344" s="713"/>
      <c r="N344" s="714"/>
      <c r="P344"/>
      <c r="S344" s="448" t="s">
        <v>224</v>
      </c>
      <c r="T344" s="449"/>
      <c r="U344" s="81">
        <f t="shared" si="77"/>
        <v>3.222725666678445</v>
      </c>
      <c r="V344" s="81">
        <f t="shared" si="77"/>
        <v>3.6255663750132507</v>
      </c>
    </row>
    <row r="345" spans="1:22" ht="18">
      <c r="A345" s="3" t="s">
        <v>2</v>
      </c>
      <c r="B345" s="148" t="s">
        <v>203</v>
      </c>
      <c r="C345" s="4" t="s">
        <v>204</v>
      </c>
      <c r="D345" s="135" t="s">
        <v>179</v>
      </c>
      <c r="E345" s="148" t="s">
        <v>205</v>
      </c>
      <c r="F345" s="4" t="s">
        <v>206</v>
      </c>
      <c r="G345" s="3" t="s">
        <v>207</v>
      </c>
      <c r="K345" s="718" t="s">
        <v>225</v>
      </c>
      <c r="L345" s="716"/>
      <c r="M345" s="716"/>
      <c r="N345" s="719"/>
      <c r="P345" s="720" t="s">
        <v>195</v>
      </c>
      <c r="Q345" s="720"/>
      <c r="S345" s="29" t="s">
        <v>225</v>
      </c>
      <c r="T345" s="2"/>
      <c r="U345" s="81">
        <f t="shared" si="77"/>
        <v>3.7245408163205154</v>
      </c>
      <c r="V345" s="81">
        <f t="shared" si="77"/>
        <v>4.1901084183605795</v>
      </c>
    </row>
    <row r="346" spans="1:22" ht="30">
      <c r="A346" s="7"/>
      <c r="B346" s="149" t="s">
        <v>17</v>
      </c>
      <c r="C346" s="7"/>
      <c r="D346" s="136" t="s">
        <v>18</v>
      </c>
      <c r="E346" s="149" t="s">
        <v>18</v>
      </c>
      <c r="F346" s="7"/>
      <c r="G346" s="76" t="s">
        <v>17</v>
      </c>
      <c r="K346" s="161">
        <v>0.6</v>
      </c>
      <c r="L346" s="161">
        <v>0.7</v>
      </c>
      <c r="M346" s="161">
        <v>0.8</v>
      </c>
      <c r="N346" s="161">
        <v>0.9</v>
      </c>
      <c r="P346" s="144" t="s">
        <v>208</v>
      </c>
      <c r="Q346" s="144" t="s">
        <v>197</v>
      </c>
      <c r="S346" s="161">
        <v>0.6</v>
      </c>
      <c r="T346" s="161">
        <v>0.7</v>
      </c>
      <c r="U346" s="81">
        <f t="shared" si="77"/>
        <v>4.2316936778814762</v>
      </c>
      <c r="V346" s="81">
        <f t="shared" si="77"/>
        <v>4.7606553876166604</v>
      </c>
    </row>
    <row r="347" spans="1:22">
      <c r="A347" s="41" t="s">
        <v>210</v>
      </c>
      <c r="B347" s="151">
        <f t="shared" ref="B347:B355" si="78">MIN(B312,D312)</f>
        <v>6.5399051307086493</v>
      </c>
      <c r="C347" s="152">
        <v>0.108</v>
      </c>
      <c r="D347" s="138">
        <v>21</v>
      </c>
      <c r="E347" s="151">
        <f t="shared" ref="E347:E357" si="79">D347+10+$B$343</f>
        <v>79.5</v>
      </c>
      <c r="F347" s="153">
        <f>1/(1+E347*C347)</f>
        <v>0.10431879824744418</v>
      </c>
      <c r="G347" s="154">
        <f>F347*B347</f>
        <v>0.68223504388782064</v>
      </c>
      <c r="K347" s="81">
        <f t="shared" ref="K347:N357" si="80">$G347*K$346/1.3</f>
        <v>0.31487771256360952</v>
      </c>
      <c r="L347" s="81">
        <f t="shared" si="80"/>
        <v>0.36735733132421106</v>
      </c>
      <c r="M347" s="81">
        <f t="shared" si="80"/>
        <v>0.4198369500848127</v>
      </c>
      <c r="N347" s="81">
        <f t="shared" si="80"/>
        <v>0.47231656884541434</v>
      </c>
      <c r="P347" s="162">
        <f>K347*200/1.35</f>
        <v>46.64855000942363</v>
      </c>
      <c r="Q347" s="162">
        <f>(K347+(4/1.3*0.6))*200/1.35</f>
        <v>320.15282351369706</v>
      </c>
      <c r="S347" s="81">
        <f t="shared" ref="S347:T357" si="81">($G347+$B$177)*S$365/1.3</f>
        <v>2.1610315587174558</v>
      </c>
      <c r="T347" s="81">
        <f t="shared" si="81"/>
        <v>2.5212034851703646</v>
      </c>
      <c r="U347" s="81">
        <f t="shared" si="77"/>
        <v>4.8220889508756395</v>
      </c>
      <c r="V347" s="81">
        <f t="shared" si="77"/>
        <v>5.4248500697350934</v>
      </c>
    </row>
    <row r="348" spans="1:22">
      <c r="A348" s="41" t="s">
        <v>211</v>
      </c>
      <c r="B348" s="151">
        <f t="shared" si="78"/>
        <v>8.8755855345331689</v>
      </c>
      <c r="C348" s="152">
        <v>6.9000000000000006E-2</v>
      </c>
      <c r="D348" s="138">
        <v>31</v>
      </c>
      <c r="E348" s="151">
        <f t="shared" si="79"/>
        <v>89.5</v>
      </c>
      <c r="F348" s="153">
        <f t="shared" ref="F348:F357" si="82">1/(1+E348*C348)</f>
        <v>0.13936311058462825</v>
      </c>
      <c r="G348" s="154">
        <f t="shared" ref="G348:G357" si="83">F348*B348</f>
        <v>1.2369292083524728</v>
      </c>
      <c r="K348" s="81">
        <f t="shared" si="80"/>
        <v>0.57089040385498746</v>
      </c>
      <c r="L348" s="81">
        <f t="shared" si="80"/>
        <v>0.66603880449748532</v>
      </c>
      <c r="M348" s="81">
        <f t="shared" si="80"/>
        <v>0.76118720513998328</v>
      </c>
      <c r="N348" s="81">
        <f t="shared" si="80"/>
        <v>0.85633560578248114</v>
      </c>
      <c r="P348" s="162">
        <f t="shared" ref="P348:P357" si="84">K348*200/1.35</f>
        <v>84.576356126664805</v>
      </c>
      <c r="Q348" s="162">
        <f t="shared" ref="Q348:Q357" si="85">(K348+(4/1.3*0.6))*200/1.35</f>
        <v>358.08062963093823</v>
      </c>
      <c r="S348" s="81">
        <f t="shared" si="81"/>
        <v>2.4170442500088334</v>
      </c>
      <c r="T348" s="81">
        <f t="shared" si="81"/>
        <v>2.8198849583436392</v>
      </c>
      <c r="U348" s="81">
        <f t="shared" si="77"/>
        <v>5.3612285370449175</v>
      </c>
      <c r="V348" s="81">
        <f t="shared" si="77"/>
        <v>6.031382104175532</v>
      </c>
    </row>
    <row r="349" spans="1:22">
      <c r="A349" s="41" t="s">
        <v>212</v>
      </c>
      <c r="B349" s="151">
        <f t="shared" si="78"/>
        <v>13.079810261417299</v>
      </c>
      <c r="C349" s="152">
        <v>5.3999999999999999E-2</v>
      </c>
      <c r="D349" s="138">
        <v>41</v>
      </c>
      <c r="E349" s="151">
        <f t="shared" si="79"/>
        <v>99.5</v>
      </c>
      <c r="F349" s="153">
        <f t="shared" si="82"/>
        <v>0.15691197238349286</v>
      </c>
      <c r="G349" s="154">
        <f t="shared" si="83"/>
        <v>2.0523788265208376</v>
      </c>
      <c r="K349" s="81">
        <f t="shared" si="80"/>
        <v>0.94725176608654038</v>
      </c>
      <c r="L349" s="81">
        <f t="shared" si="80"/>
        <v>1.1051270604342971</v>
      </c>
      <c r="M349" s="81">
        <f t="shared" si="80"/>
        <v>1.2630023547820539</v>
      </c>
      <c r="N349" s="81">
        <f t="shared" si="80"/>
        <v>1.4208776491298105</v>
      </c>
      <c r="P349" s="162">
        <f t="shared" si="84"/>
        <v>140.33359497578374</v>
      </c>
      <c r="Q349" s="162">
        <f t="shared" si="85"/>
        <v>413.83786848005724</v>
      </c>
      <c r="S349" s="81">
        <f t="shared" si="81"/>
        <v>2.7934056122403863</v>
      </c>
      <c r="T349" s="81">
        <f t="shared" si="81"/>
        <v>3.2589732142804504</v>
      </c>
      <c r="U349" s="81">
        <f t="shared" si="77"/>
        <v>4.4650138140189188</v>
      </c>
      <c r="V349" s="81">
        <f t="shared" si="77"/>
        <v>5.0231405407712835</v>
      </c>
    </row>
    <row r="350" spans="1:22">
      <c r="A350" s="41" t="s">
        <v>213</v>
      </c>
      <c r="B350" s="151">
        <f t="shared" si="78"/>
        <v>17.050466947918981</v>
      </c>
      <c r="C350" s="152">
        <v>4.4999999999999998E-2</v>
      </c>
      <c r="D350" s="138">
        <v>51</v>
      </c>
      <c r="E350" s="151">
        <f t="shared" si="79"/>
        <v>109.5</v>
      </c>
      <c r="F350" s="153">
        <f t="shared" si="82"/>
        <v>0.16870518768452128</v>
      </c>
      <c r="G350" s="154">
        <f t="shared" si="83"/>
        <v>2.8765022265573985</v>
      </c>
      <c r="K350" s="81">
        <f t="shared" si="80"/>
        <v>1.3276164122572607</v>
      </c>
      <c r="L350" s="81">
        <f t="shared" si="80"/>
        <v>1.5488858143001374</v>
      </c>
      <c r="M350" s="81">
        <f t="shared" si="80"/>
        <v>1.7701552163430145</v>
      </c>
      <c r="N350" s="81">
        <f t="shared" si="80"/>
        <v>1.9914246183858912</v>
      </c>
      <c r="P350" s="162">
        <f t="shared" si="84"/>
        <v>196.68391292700156</v>
      </c>
      <c r="Q350" s="162">
        <f t="shared" si="85"/>
        <v>470.18818643127503</v>
      </c>
      <c r="S350" s="81">
        <f t="shared" si="81"/>
        <v>3.1737702584111069</v>
      </c>
      <c r="T350" s="81">
        <f t="shared" si="81"/>
        <v>3.7027319681462911</v>
      </c>
      <c r="U350" s="81">
        <f t="shared" si="77"/>
        <v>5.6933176352664736</v>
      </c>
      <c r="V350" s="81">
        <f t="shared" si="77"/>
        <v>6.4049823396747838</v>
      </c>
    </row>
    <row r="351" spans="1:22">
      <c r="A351" s="41" t="s">
        <v>214</v>
      </c>
      <c r="B351" s="151">
        <f t="shared" si="78"/>
        <v>21.254691674803112</v>
      </c>
      <c r="C351" s="152">
        <v>3.7999999999999999E-2</v>
      </c>
      <c r="D351" s="138">
        <v>61</v>
      </c>
      <c r="E351" s="151">
        <f t="shared" si="79"/>
        <v>119.5</v>
      </c>
      <c r="F351" s="153">
        <f t="shared" si="82"/>
        <v>0.18047283883775495</v>
      </c>
      <c r="G351" s="154">
        <f t="shared" si="83"/>
        <v>3.8358945451729136</v>
      </c>
      <c r="K351" s="81">
        <f t="shared" si="80"/>
        <v>1.7704128670028829</v>
      </c>
      <c r="L351" s="81">
        <f t="shared" si="80"/>
        <v>2.0654816781700305</v>
      </c>
      <c r="M351" s="81">
        <f t="shared" si="80"/>
        <v>2.3605504893371778</v>
      </c>
      <c r="N351" s="81">
        <f t="shared" si="80"/>
        <v>2.6556193005043247</v>
      </c>
      <c r="P351" s="162">
        <f t="shared" si="84"/>
        <v>262.28338770413075</v>
      </c>
      <c r="Q351" s="162">
        <f t="shared" si="85"/>
        <v>535.7876612084043</v>
      </c>
      <c r="S351" s="81">
        <f t="shared" si="81"/>
        <v>3.616566713156729</v>
      </c>
      <c r="T351" s="81">
        <f t="shared" si="81"/>
        <v>4.2193278320161838</v>
      </c>
      <c r="U351" s="81">
        <f t="shared" si="77"/>
        <v>6.9676214092442716</v>
      </c>
      <c r="V351" s="81">
        <f t="shared" si="77"/>
        <v>7.8385740853998067</v>
      </c>
    </row>
    <row r="352" spans="1:22">
      <c r="A352" s="41" t="s">
        <v>215</v>
      </c>
      <c r="B352" s="151">
        <f t="shared" si="78"/>
        <v>25.458916401687247</v>
      </c>
      <c r="C352" s="152">
        <v>3.4000000000000002E-2</v>
      </c>
      <c r="D352" s="138">
        <v>71</v>
      </c>
      <c r="E352" s="151">
        <f t="shared" si="79"/>
        <v>129.5</v>
      </c>
      <c r="F352" s="153">
        <f t="shared" si="82"/>
        <v>0.18508236165093464</v>
      </c>
      <c r="G352" s="154">
        <f t="shared" si="83"/>
        <v>4.7119963726979908</v>
      </c>
      <c r="K352" s="81">
        <f t="shared" si="80"/>
        <v>2.1747675566298419</v>
      </c>
      <c r="L352" s="81">
        <f t="shared" si="80"/>
        <v>2.5372288160681489</v>
      </c>
      <c r="M352" s="81">
        <f t="shared" si="80"/>
        <v>2.8996900755064559</v>
      </c>
      <c r="N352" s="81">
        <f t="shared" si="80"/>
        <v>3.2621513349447628</v>
      </c>
      <c r="P352" s="162">
        <f t="shared" si="84"/>
        <v>322.18778616738399</v>
      </c>
      <c r="Q352" s="162">
        <f t="shared" si="85"/>
        <v>595.69205967165738</v>
      </c>
      <c r="S352" s="81">
        <f t="shared" si="81"/>
        <v>4.0209214027836877</v>
      </c>
      <c r="T352" s="81">
        <f t="shared" si="81"/>
        <v>4.6910749699143022</v>
      </c>
      <c r="U352" s="81">
        <f t="shared" si="77"/>
        <v>6.9440293519264413</v>
      </c>
      <c r="V352" s="81">
        <f t="shared" si="77"/>
        <v>7.8120330209172462</v>
      </c>
    </row>
    <row r="353" spans="1:22">
      <c r="A353" s="41" t="s">
        <v>216</v>
      </c>
      <c r="B353" s="151">
        <f t="shared" si="78"/>
        <v>15.415490665241817</v>
      </c>
      <c r="C353" s="152">
        <v>0.03</v>
      </c>
      <c r="D353" s="138">
        <v>66</v>
      </c>
      <c r="E353" s="151">
        <f t="shared" si="79"/>
        <v>124.5</v>
      </c>
      <c r="F353" s="153">
        <f t="shared" si="82"/>
        <v>0.2111932418162619</v>
      </c>
      <c r="G353" s="154">
        <f t="shared" si="83"/>
        <v>3.2556474477807429</v>
      </c>
      <c r="K353" s="81">
        <f t="shared" si="80"/>
        <v>1.5026065143603429</v>
      </c>
      <c r="L353" s="81">
        <f t="shared" si="80"/>
        <v>1.7530409334204</v>
      </c>
      <c r="M353" s="81">
        <f t="shared" si="80"/>
        <v>2.0034753524804572</v>
      </c>
      <c r="N353" s="81">
        <f t="shared" si="80"/>
        <v>2.2539097715405143</v>
      </c>
      <c r="P353" s="162">
        <f t="shared" si="84"/>
        <v>222.60837249782858</v>
      </c>
      <c r="Q353" s="162">
        <f t="shared" si="85"/>
        <v>496.112646002102</v>
      </c>
      <c r="S353" s="81">
        <f t="shared" si="81"/>
        <v>3.3487603605141887</v>
      </c>
      <c r="T353" s="81">
        <f t="shared" si="81"/>
        <v>3.9068870872665533</v>
      </c>
      <c r="U353" s="81">
        <f t="shared" si="77"/>
        <v>5.8707459548685161</v>
      </c>
      <c r="V353" s="81">
        <f t="shared" si="77"/>
        <v>6.6045891992270809</v>
      </c>
    </row>
    <row r="354" spans="1:22">
      <c r="A354" s="41" t="s">
        <v>217</v>
      </c>
      <c r="B354" s="151">
        <f t="shared" si="78"/>
        <v>23.590372078627627</v>
      </c>
      <c r="C354" s="152">
        <v>2.4E-2</v>
      </c>
      <c r="D354" s="138">
        <v>87</v>
      </c>
      <c r="E354" s="151">
        <f t="shared" si="79"/>
        <v>145.5</v>
      </c>
      <c r="F354" s="153">
        <f t="shared" si="82"/>
        <v>0.22261798753339271</v>
      </c>
      <c r="G354" s="154">
        <f t="shared" si="83"/>
        <v>5.2516411573080202</v>
      </c>
      <c r="K354" s="81">
        <f t="shared" si="80"/>
        <v>2.4238343802960092</v>
      </c>
      <c r="L354" s="81">
        <f t="shared" si="80"/>
        <v>2.8278067770120106</v>
      </c>
      <c r="M354" s="81">
        <f t="shared" si="80"/>
        <v>3.2317791737280124</v>
      </c>
      <c r="N354" s="81">
        <f t="shared" si="80"/>
        <v>3.6357515704440138</v>
      </c>
      <c r="P354" s="162">
        <f t="shared" si="84"/>
        <v>359.08657485866797</v>
      </c>
      <c r="Q354" s="162">
        <f t="shared" si="85"/>
        <v>632.59084836294153</v>
      </c>
      <c r="S354" s="81">
        <f t="shared" si="81"/>
        <v>4.269988226449855</v>
      </c>
      <c r="T354" s="81">
        <f t="shared" si="81"/>
        <v>4.9816529308581643</v>
      </c>
    </row>
    <row r="355" spans="1:22">
      <c r="A355" s="41" t="s">
        <v>218</v>
      </c>
      <c r="B355" s="151">
        <f t="shared" si="78"/>
        <v>31.99882153239589</v>
      </c>
      <c r="C355" s="152">
        <v>0.02</v>
      </c>
      <c r="D355" s="138">
        <v>110</v>
      </c>
      <c r="E355" s="151">
        <f t="shared" si="79"/>
        <v>168.5</v>
      </c>
      <c r="F355" s="153">
        <f t="shared" si="82"/>
        <v>0.22883295194508008</v>
      </c>
      <c r="G355" s="154">
        <f t="shared" si="83"/>
        <v>7.3223847900219425</v>
      </c>
      <c r="K355" s="81">
        <f t="shared" si="80"/>
        <v>3.3795622107793579</v>
      </c>
      <c r="L355" s="81">
        <f t="shared" si="80"/>
        <v>3.9428225792425842</v>
      </c>
      <c r="M355" s="81">
        <f t="shared" si="80"/>
        <v>4.5060829477058109</v>
      </c>
      <c r="N355" s="81">
        <f t="shared" si="80"/>
        <v>5.0693433161690367</v>
      </c>
      <c r="P355" s="162">
        <f t="shared" si="84"/>
        <v>500.67588307842334</v>
      </c>
      <c r="Q355" s="162">
        <f t="shared" si="85"/>
        <v>774.18015658269667</v>
      </c>
      <c r="S355" s="81">
        <f t="shared" si="81"/>
        <v>5.2257160569332042</v>
      </c>
      <c r="T355" s="81">
        <f t="shared" si="81"/>
        <v>6.0966687330887375</v>
      </c>
    </row>
    <row r="356" spans="1:22">
      <c r="A356" s="41" t="s">
        <v>219</v>
      </c>
      <c r="B356" s="151">
        <f>B355</f>
        <v>31.99882153239589</v>
      </c>
      <c r="C356" s="152">
        <v>1.7999999999999999E-2</v>
      </c>
      <c r="D356" s="138">
        <v>130</v>
      </c>
      <c r="E356" s="151">
        <f t="shared" si="79"/>
        <v>188.5</v>
      </c>
      <c r="F356" s="153">
        <f t="shared" si="82"/>
        <v>0.22763487366264512</v>
      </c>
      <c r="G356" s="154">
        <f t="shared" si="83"/>
        <v>7.2840476968804673</v>
      </c>
      <c r="K356" s="81">
        <f t="shared" si="80"/>
        <v>3.361868167790985</v>
      </c>
      <c r="L356" s="81">
        <f t="shared" si="80"/>
        <v>3.9221795290894819</v>
      </c>
      <c r="M356" s="81">
        <f t="shared" si="80"/>
        <v>4.4824908903879805</v>
      </c>
      <c r="N356" s="81">
        <f t="shared" si="80"/>
        <v>5.042802251686477</v>
      </c>
      <c r="P356" s="162">
        <f t="shared" si="84"/>
        <v>498.05454337644215</v>
      </c>
      <c r="Q356" s="162">
        <f t="shared" si="85"/>
        <v>771.55881688071565</v>
      </c>
      <c r="S356" s="81">
        <f t="shared" si="81"/>
        <v>5.2080220139448308</v>
      </c>
      <c r="T356" s="81">
        <f t="shared" si="81"/>
        <v>6.0760256829356356</v>
      </c>
    </row>
    <row r="357" spans="1:22">
      <c r="A357" s="41" t="s">
        <v>220</v>
      </c>
      <c r="B357" s="151">
        <f>B356</f>
        <v>31.99882153239589</v>
      </c>
      <c r="C357" s="152">
        <v>1.6E-2</v>
      </c>
      <c r="D357" s="138">
        <v>240</v>
      </c>
      <c r="E357" s="151">
        <f t="shared" si="79"/>
        <v>298.5</v>
      </c>
      <c r="F357" s="153">
        <f t="shared" si="82"/>
        <v>0.17313019390581719</v>
      </c>
      <c r="G357" s="154">
        <f t="shared" si="83"/>
        <v>5.5399621766613389</v>
      </c>
      <c r="K357" s="81">
        <f t="shared" si="80"/>
        <v>2.5569056199975408</v>
      </c>
      <c r="L357" s="81">
        <f t="shared" si="80"/>
        <v>2.9830565566637977</v>
      </c>
      <c r="M357" s="81">
        <f t="shared" si="80"/>
        <v>3.4092074933300549</v>
      </c>
      <c r="N357" s="81">
        <f t="shared" si="80"/>
        <v>3.8353584299963117</v>
      </c>
      <c r="P357" s="162">
        <f t="shared" si="84"/>
        <v>378.80083259222829</v>
      </c>
      <c r="Q357" s="162">
        <f t="shared" si="85"/>
        <v>652.30510609650173</v>
      </c>
      <c r="S357" s="81">
        <f t="shared" si="81"/>
        <v>4.4030594661513875</v>
      </c>
      <c r="T357" s="81">
        <f t="shared" si="81"/>
        <v>5.1369027105099514</v>
      </c>
    </row>
    <row r="358" spans="1:22" ht="18" customHeight="1">
      <c r="B358" s="155"/>
      <c r="C358" s="156"/>
      <c r="D358" s="92"/>
      <c r="E358" s="155"/>
      <c r="F358" s="157"/>
      <c r="G358" s="158"/>
      <c r="K358" s="105"/>
      <c r="L358" s="105"/>
      <c r="M358" s="105"/>
      <c r="N358" s="105"/>
      <c r="P358" s="159"/>
      <c r="Q358" s="159"/>
      <c r="U358" s="446"/>
      <c r="V358" s="447"/>
    </row>
    <row r="359" spans="1:22" ht="18" customHeight="1">
      <c r="D359" s="92"/>
      <c r="U359" s="449"/>
      <c r="V359" s="450"/>
    </row>
    <row r="360" spans="1:22" ht="18" customHeight="1">
      <c r="A360" s="160" t="s">
        <v>221</v>
      </c>
      <c r="D360" s="92"/>
      <c r="U360" s="2"/>
      <c r="V360" s="451"/>
    </row>
    <row r="361" spans="1:22">
      <c r="A361" s="21" t="s">
        <v>198</v>
      </c>
      <c r="B361" s="20">
        <v>58</v>
      </c>
      <c r="C361" t="s">
        <v>62</v>
      </c>
      <c r="D361" s="92"/>
      <c r="U361" s="161">
        <v>0.8</v>
      </c>
      <c r="V361" s="161">
        <v>0.9</v>
      </c>
    </row>
    <row r="362" spans="1:22" ht="18">
      <c r="A362" s="21" t="s">
        <v>199</v>
      </c>
      <c r="B362">
        <f>19+B361/2</f>
        <v>48</v>
      </c>
      <c r="C362" t="s">
        <v>62</v>
      </c>
      <c r="D362" s="146" t="s">
        <v>222</v>
      </c>
      <c r="K362" s="708" t="s">
        <v>223</v>
      </c>
      <c r="L362" s="709"/>
      <c r="M362" s="709"/>
      <c r="N362" s="710"/>
      <c r="S362" s="445" t="s">
        <v>223</v>
      </c>
      <c r="T362" s="446"/>
      <c r="U362" s="81">
        <f t="shared" ref="U362:V370" si="86">($G366+$B$177)*U$361/1.3</f>
        <v>2.8837538416804063</v>
      </c>
      <c r="V362" s="81">
        <f t="shared" si="86"/>
        <v>3.244223071890457</v>
      </c>
    </row>
    <row r="363" spans="1:22" ht="18">
      <c r="A363" s="21" t="s">
        <v>37</v>
      </c>
      <c r="B363" s="147">
        <v>380</v>
      </c>
      <c r="C363" t="s">
        <v>38</v>
      </c>
      <c r="D363" s="92"/>
      <c r="K363" s="712" t="s">
        <v>202</v>
      </c>
      <c r="L363" s="713"/>
      <c r="M363" s="713"/>
      <c r="N363" s="714"/>
      <c r="P363"/>
      <c r="S363" s="448" t="s">
        <v>224</v>
      </c>
      <c r="T363" s="449"/>
      <c r="U363" s="81">
        <f t="shared" si="86"/>
        <v>3.2264031570267613</v>
      </c>
      <c r="V363" s="81">
        <f t="shared" si="86"/>
        <v>3.6297035516551066</v>
      </c>
    </row>
    <row r="364" spans="1:22" ht="18">
      <c r="A364" s="3" t="s">
        <v>2</v>
      </c>
      <c r="B364" s="148" t="s">
        <v>203</v>
      </c>
      <c r="C364" s="4" t="s">
        <v>204</v>
      </c>
      <c r="D364" s="135" t="s">
        <v>179</v>
      </c>
      <c r="E364" s="148" t="s">
        <v>205</v>
      </c>
      <c r="F364" s="4" t="s">
        <v>206</v>
      </c>
      <c r="G364" s="3" t="s">
        <v>207</v>
      </c>
      <c r="K364" s="718" t="s">
        <v>225</v>
      </c>
      <c r="L364" s="716"/>
      <c r="M364" s="716"/>
      <c r="N364" s="719"/>
      <c r="P364" s="720" t="s">
        <v>195</v>
      </c>
      <c r="Q364" s="720"/>
      <c r="S364" s="29" t="s">
        <v>225</v>
      </c>
      <c r="T364" s="2"/>
      <c r="U364" s="81">
        <f t="shared" si="86"/>
        <v>3.7299144475179808</v>
      </c>
      <c r="V364" s="81">
        <f t="shared" si="86"/>
        <v>4.1961537534577289</v>
      </c>
    </row>
    <row r="365" spans="1:22" ht="30">
      <c r="A365" s="7"/>
      <c r="B365" s="149" t="s">
        <v>17</v>
      </c>
      <c r="C365" s="7"/>
      <c r="D365" s="136" t="s">
        <v>18</v>
      </c>
      <c r="E365" s="149" t="s">
        <v>18</v>
      </c>
      <c r="F365" s="7"/>
      <c r="G365" s="76" t="s">
        <v>17</v>
      </c>
      <c r="K365" s="161">
        <v>0.6</v>
      </c>
      <c r="L365" s="161">
        <v>0.7</v>
      </c>
      <c r="M365" s="161">
        <v>0.8</v>
      </c>
      <c r="N365" s="161">
        <v>0.9</v>
      </c>
      <c r="P365" s="144" t="s">
        <v>208</v>
      </c>
      <c r="Q365" s="144" t="s">
        <v>197</v>
      </c>
      <c r="S365" s="161">
        <v>0.6</v>
      </c>
      <c r="T365" s="161">
        <v>0.7</v>
      </c>
      <c r="U365" s="81">
        <f t="shared" si="86"/>
        <v>4.2384385538116573</v>
      </c>
      <c r="V365" s="81">
        <f t="shared" si="86"/>
        <v>4.7682433730381133</v>
      </c>
    </row>
    <row r="366" spans="1:22">
      <c r="A366" s="41" t="s">
        <v>210</v>
      </c>
      <c r="B366" s="151">
        <f t="shared" ref="B366:B374" si="87">MIN(B312,D312)</f>
        <v>6.5399051307086493</v>
      </c>
      <c r="C366" s="152">
        <v>0.108</v>
      </c>
      <c r="D366" s="138">
        <v>21</v>
      </c>
      <c r="E366" s="151">
        <f t="shared" ref="E366:E374" si="88">D366+10+$B$362</f>
        <v>79</v>
      </c>
      <c r="F366" s="153">
        <f>1/(1+E366*C366)</f>
        <v>0.1049097775912715</v>
      </c>
      <c r="G366" s="154">
        <f>F366*B366</f>
        <v>0.6860999927306598</v>
      </c>
      <c r="K366" s="81">
        <f>$G366*K$346/1.3</f>
        <v>0.31666153510645839</v>
      </c>
      <c r="L366" s="81">
        <f>$G366*L$346/1.3</f>
        <v>0.36943845762420141</v>
      </c>
      <c r="M366" s="81">
        <f>$G366*M$346/1.3</f>
        <v>0.42221538014194449</v>
      </c>
      <c r="N366" s="81">
        <f>$G366*N$346/1.3</f>
        <v>0.4749923026596875</v>
      </c>
      <c r="P366" s="162">
        <f>K366*200/1.35</f>
        <v>46.912820015771608</v>
      </c>
      <c r="Q366" s="162">
        <f>(K366+(4/1.3*0.6))*200/1.35</f>
        <v>320.41709352004506</v>
      </c>
      <c r="S366" s="81">
        <f t="shared" ref="S366:T374" si="89">($G366+$B$177)*S$365/1.3</f>
        <v>2.1628153812603044</v>
      </c>
      <c r="T366" s="81">
        <f t="shared" si="89"/>
        <v>2.5232846114703551</v>
      </c>
      <c r="U366" s="81">
        <f t="shared" si="86"/>
        <v>4.8302110912771976</v>
      </c>
      <c r="V366" s="81">
        <f t="shared" si="86"/>
        <v>5.4339874776868475</v>
      </c>
    </row>
    <row r="367" spans="1:22">
      <c r="A367" s="41" t="s">
        <v>211</v>
      </c>
      <c r="B367" s="151">
        <f t="shared" si="87"/>
        <v>8.8755855345331689</v>
      </c>
      <c r="C367" s="152">
        <v>6.9000000000000006E-2</v>
      </c>
      <c r="D367" s="138">
        <v>31</v>
      </c>
      <c r="E367" s="151">
        <f t="shared" si="88"/>
        <v>89</v>
      </c>
      <c r="F367" s="153">
        <f t="shared" ref="F367:F374" si="90">1/(1+E367*C367)</f>
        <v>0.14003640946646126</v>
      </c>
      <c r="G367" s="154">
        <f t="shared" ref="G367:G374" si="91">F367*B367</f>
        <v>1.2429051301684872</v>
      </c>
      <c r="K367" s="81">
        <f t="shared" ref="K367:K374" si="92">$G367*K$346/1.3</f>
        <v>0.57364852161622482</v>
      </c>
      <c r="L367" s="81">
        <f t="shared" ref="L367:N374" si="93">$G367*L$346/1.3</f>
        <v>0.66925660855226232</v>
      </c>
      <c r="M367" s="81">
        <f t="shared" si="93"/>
        <v>0.76486469548829994</v>
      </c>
      <c r="N367" s="81">
        <f t="shared" si="93"/>
        <v>0.86047278242433722</v>
      </c>
      <c r="P367" s="162">
        <f t="shared" ref="P367:P374" si="94">K367*200/1.35</f>
        <v>84.984966165366629</v>
      </c>
      <c r="Q367" s="162">
        <f t="shared" ref="Q367:Q374" si="95">(K367+(4/1.3*0.6))*200/1.35</f>
        <v>358.48923966964009</v>
      </c>
      <c r="S367" s="81">
        <f t="shared" si="89"/>
        <v>2.4198023677700711</v>
      </c>
      <c r="T367" s="81">
        <f t="shared" si="89"/>
        <v>2.8231027623984155</v>
      </c>
      <c r="U367" s="81">
        <f t="shared" si="86"/>
        <v>5.3703809193849876</v>
      </c>
      <c r="V367" s="81">
        <f t="shared" si="86"/>
        <v>6.0416785343081107</v>
      </c>
    </row>
    <row r="368" spans="1:22">
      <c r="A368" s="41" t="s">
        <v>212</v>
      </c>
      <c r="B368" s="151">
        <f t="shared" si="87"/>
        <v>13.079810261417299</v>
      </c>
      <c r="C368" s="152">
        <v>5.3999999999999999E-2</v>
      </c>
      <c r="D368" s="138">
        <v>41</v>
      </c>
      <c r="E368" s="151">
        <f t="shared" si="88"/>
        <v>99</v>
      </c>
      <c r="F368" s="153">
        <f t="shared" si="90"/>
        <v>0.15757957768673181</v>
      </c>
      <c r="G368" s="154">
        <f t="shared" si="91"/>
        <v>2.0611109772167193</v>
      </c>
      <c r="K368" s="81">
        <f t="shared" si="92"/>
        <v>0.9512819894846396</v>
      </c>
      <c r="L368" s="81">
        <f t="shared" si="93"/>
        <v>1.1098289877320795</v>
      </c>
      <c r="M368" s="81">
        <f t="shared" si="93"/>
        <v>1.2683759859795196</v>
      </c>
      <c r="N368" s="81">
        <f t="shared" si="93"/>
        <v>1.4269229842269595</v>
      </c>
      <c r="P368" s="162">
        <f t="shared" si="94"/>
        <v>140.93066510883548</v>
      </c>
      <c r="Q368" s="162">
        <f t="shared" si="95"/>
        <v>414.43493861310895</v>
      </c>
      <c r="S368" s="81">
        <f t="shared" si="89"/>
        <v>2.7974358356384856</v>
      </c>
      <c r="T368" s="81">
        <f t="shared" si="89"/>
        <v>3.2636751415782332</v>
      </c>
      <c r="U368" s="81">
        <f t="shared" si="86"/>
        <v>4.471380790774683</v>
      </c>
      <c r="V368" s="81">
        <f t="shared" si="86"/>
        <v>5.0303033896215181</v>
      </c>
    </row>
    <row r="369" spans="1:39">
      <c r="A369" s="41" t="s">
        <v>213</v>
      </c>
      <c r="B369" s="151">
        <f t="shared" si="87"/>
        <v>17.050466947918981</v>
      </c>
      <c r="C369" s="152">
        <v>4.4999999999999998E-2</v>
      </c>
      <c r="D369" s="138">
        <v>51</v>
      </c>
      <c r="E369" s="151">
        <f t="shared" si="88"/>
        <v>109</v>
      </c>
      <c r="F369" s="153">
        <f t="shared" si="90"/>
        <v>0.16934801016088061</v>
      </c>
      <c r="G369" s="154">
        <f t="shared" si="91"/>
        <v>2.8874626499439424</v>
      </c>
      <c r="K369" s="81">
        <f t="shared" si="92"/>
        <v>1.3326750692048963</v>
      </c>
      <c r="L369" s="81">
        <f t="shared" si="93"/>
        <v>1.5547875807390457</v>
      </c>
      <c r="M369" s="81">
        <f t="shared" si="93"/>
        <v>1.7769000922731955</v>
      </c>
      <c r="N369" s="81">
        <f t="shared" si="93"/>
        <v>1.9990126038073448</v>
      </c>
      <c r="P369" s="162">
        <f t="shared" si="94"/>
        <v>197.43334358591056</v>
      </c>
      <c r="Q369" s="162">
        <f t="shared" si="95"/>
        <v>470.93761709018395</v>
      </c>
      <c r="S369" s="81">
        <f t="shared" si="89"/>
        <v>3.1788289153587423</v>
      </c>
      <c r="T369" s="81">
        <f t="shared" si="89"/>
        <v>3.7086337345851996</v>
      </c>
      <c r="U369" s="81">
        <f t="shared" si="86"/>
        <v>5.7019741866246729</v>
      </c>
      <c r="V369" s="81">
        <f t="shared" si="86"/>
        <v>6.4147209599527573</v>
      </c>
    </row>
    <row r="370" spans="1:39">
      <c r="A370" s="41" t="s">
        <v>214</v>
      </c>
      <c r="B370" s="151">
        <f t="shared" si="87"/>
        <v>21.254691674803112</v>
      </c>
      <c r="C370" s="152">
        <v>3.7999999999999999E-2</v>
      </c>
      <c r="D370" s="138">
        <v>61</v>
      </c>
      <c r="E370" s="151">
        <f t="shared" si="88"/>
        <v>119</v>
      </c>
      <c r="F370" s="153">
        <f t="shared" si="90"/>
        <v>0.18109380659181457</v>
      </c>
      <c r="G370" s="154">
        <f t="shared" si="91"/>
        <v>3.8490930233254459</v>
      </c>
      <c r="K370" s="81">
        <f t="shared" si="92"/>
        <v>1.7765044723040517</v>
      </c>
      <c r="L370" s="81">
        <f t="shared" si="93"/>
        <v>2.0725885510213939</v>
      </c>
      <c r="M370" s="81">
        <f t="shared" si="93"/>
        <v>2.3686726297387359</v>
      </c>
      <c r="N370" s="81">
        <f t="shared" si="93"/>
        <v>2.6647567084560779</v>
      </c>
      <c r="P370" s="162">
        <f t="shared" si="94"/>
        <v>263.18584774874842</v>
      </c>
      <c r="Q370" s="162">
        <f t="shared" si="95"/>
        <v>536.69012125302186</v>
      </c>
      <c r="S370" s="81">
        <f t="shared" si="89"/>
        <v>3.6226583184578982</v>
      </c>
      <c r="T370" s="81">
        <f t="shared" si="89"/>
        <v>4.2264347048675477</v>
      </c>
      <c r="U370" s="81">
        <f t="shared" si="86"/>
        <v>6.9779564618766265</v>
      </c>
      <c r="V370" s="81">
        <f t="shared" si="86"/>
        <v>7.8502010196112035</v>
      </c>
    </row>
    <row r="371" spans="1:39">
      <c r="A371" s="41" t="s">
        <v>215</v>
      </c>
      <c r="B371" s="151">
        <f t="shared" si="87"/>
        <v>25.458916401687247</v>
      </c>
      <c r="C371" s="152">
        <v>3.4000000000000002E-2</v>
      </c>
      <c r="D371" s="138">
        <v>71</v>
      </c>
      <c r="E371" s="151">
        <f t="shared" si="88"/>
        <v>129</v>
      </c>
      <c r="F371" s="153">
        <f t="shared" si="90"/>
        <v>0.18566654288897141</v>
      </c>
      <c r="G371" s="154">
        <f t="shared" si="91"/>
        <v>4.7268689940006032</v>
      </c>
      <c r="K371" s="81">
        <f t="shared" si="92"/>
        <v>2.1816318433848938</v>
      </c>
      <c r="L371" s="81">
        <f t="shared" si="93"/>
        <v>2.545237150615709</v>
      </c>
      <c r="M371" s="81">
        <f t="shared" si="93"/>
        <v>2.9088424578465251</v>
      </c>
      <c r="N371" s="81">
        <f t="shared" si="93"/>
        <v>3.2724477650773403</v>
      </c>
      <c r="P371" s="162">
        <f t="shared" si="94"/>
        <v>323.20471753850273</v>
      </c>
      <c r="Q371" s="162">
        <f t="shared" si="95"/>
        <v>596.70899104277623</v>
      </c>
      <c r="S371" s="81">
        <f t="shared" si="89"/>
        <v>4.0277856895387396</v>
      </c>
      <c r="T371" s="81">
        <f t="shared" si="89"/>
        <v>4.6990833044618627</v>
      </c>
      <c r="U371" s="81">
        <f>($G379+$B$177)*U$361/1.3</f>
        <v>2.4615384615384617</v>
      </c>
      <c r="V371" s="81">
        <f>($G379+$B$177)*V$361/1.3</f>
        <v>2.7692307692307692</v>
      </c>
    </row>
    <row r="372" spans="1:39">
      <c r="A372" s="41" t="s">
        <v>216</v>
      </c>
      <c r="B372" s="151">
        <f t="shared" si="87"/>
        <v>15.415490665241817</v>
      </c>
      <c r="C372" s="152">
        <v>0.03</v>
      </c>
      <c r="D372" s="138">
        <v>66</v>
      </c>
      <c r="E372" s="151">
        <f t="shared" si="88"/>
        <v>124</v>
      </c>
      <c r="F372" s="153">
        <f t="shared" si="90"/>
        <v>0.21186440677966104</v>
      </c>
      <c r="G372" s="154">
        <f t="shared" si="91"/>
        <v>3.2659937850088601</v>
      </c>
      <c r="K372" s="81">
        <f t="shared" si="92"/>
        <v>1.507381746927166</v>
      </c>
      <c r="L372" s="81">
        <f t="shared" si="93"/>
        <v>1.7586120380816936</v>
      </c>
      <c r="M372" s="81">
        <f t="shared" si="93"/>
        <v>2.0098423292362217</v>
      </c>
      <c r="N372" s="81">
        <f t="shared" si="93"/>
        <v>2.261072620390749</v>
      </c>
      <c r="P372" s="162">
        <f t="shared" si="94"/>
        <v>223.31581435958012</v>
      </c>
      <c r="Q372" s="162">
        <f t="shared" si="95"/>
        <v>496.82008786385359</v>
      </c>
      <c r="S372" s="81">
        <f t="shared" si="89"/>
        <v>3.3535355930810122</v>
      </c>
      <c r="T372" s="81">
        <f t="shared" si="89"/>
        <v>3.9124581919278474</v>
      </c>
      <c r="U372" s="81">
        <f>($G380+$B$177)*U$361/1.3</f>
        <v>2.4615384615384617</v>
      </c>
      <c r="V372" s="81">
        <f>($G380+$B$177)*V$361/1.3</f>
        <v>2.7692307692307692</v>
      </c>
    </row>
    <row r="373" spans="1:39">
      <c r="A373" s="41" t="s">
        <v>217</v>
      </c>
      <c r="B373" s="151">
        <f t="shared" si="87"/>
        <v>23.590372078627627</v>
      </c>
      <c r="C373" s="152">
        <v>2.4E-2</v>
      </c>
      <c r="D373" s="138">
        <v>87</v>
      </c>
      <c r="E373" s="151">
        <f t="shared" si="88"/>
        <v>145</v>
      </c>
      <c r="F373" s="153">
        <f t="shared" si="90"/>
        <v>0.2232142857142857</v>
      </c>
      <c r="G373" s="154">
        <f t="shared" si="91"/>
        <v>5.2657080532650946</v>
      </c>
      <c r="K373" s="81">
        <f t="shared" si="92"/>
        <v>2.4303267938146589</v>
      </c>
      <c r="L373" s="81">
        <f t="shared" si="93"/>
        <v>2.8353812594504353</v>
      </c>
      <c r="M373" s="81">
        <f t="shared" si="93"/>
        <v>3.2404357250862121</v>
      </c>
      <c r="N373" s="81">
        <f t="shared" si="93"/>
        <v>3.645490190721989</v>
      </c>
      <c r="P373" s="162">
        <f t="shared" si="94"/>
        <v>360.04841389846797</v>
      </c>
      <c r="Q373" s="162">
        <f t="shared" si="95"/>
        <v>633.5526874027413</v>
      </c>
      <c r="S373" s="81">
        <f t="shared" si="89"/>
        <v>4.2764806399685042</v>
      </c>
      <c r="T373" s="81">
        <f t="shared" si="89"/>
        <v>4.9892274132965886</v>
      </c>
    </row>
    <row r="374" spans="1:39" ht="15.75" thickBot="1">
      <c r="A374" s="41" t="s">
        <v>218</v>
      </c>
      <c r="B374" s="151">
        <f t="shared" si="87"/>
        <v>31.99882153239589</v>
      </c>
      <c r="C374" s="152">
        <v>0.02</v>
      </c>
      <c r="D374" s="138">
        <v>110</v>
      </c>
      <c r="E374" s="151">
        <f t="shared" si="88"/>
        <v>168</v>
      </c>
      <c r="F374" s="462">
        <f t="shared" si="90"/>
        <v>0.22935779816513766</v>
      </c>
      <c r="G374" s="463">
        <f t="shared" si="91"/>
        <v>7.3391792505495177</v>
      </c>
      <c r="K374" s="81">
        <f t="shared" si="92"/>
        <v>3.3873135002536232</v>
      </c>
      <c r="L374" s="81">
        <f t="shared" si="93"/>
        <v>3.9518657502958936</v>
      </c>
      <c r="M374" s="81">
        <f t="shared" si="93"/>
        <v>4.5164180003381649</v>
      </c>
      <c r="N374" s="81">
        <f t="shared" si="93"/>
        <v>5.0809702503804353</v>
      </c>
      <c r="P374" s="162">
        <f t="shared" si="94"/>
        <v>501.82422225979599</v>
      </c>
      <c r="Q374" s="455">
        <f t="shared" si="95"/>
        <v>775.32849576406954</v>
      </c>
      <c r="S374" s="456">
        <f t="shared" si="89"/>
        <v>5.233467346407469</v>
      </c>
      <c r="T374" s="456">
        <f t="shared" si="89"/>
        <v>6.1057119041420469</v>
      </c>
    </row>
    <row r="375" spans="1:39" ht="45.75" thickTop="1">
      <c r="A375" s="62" t="s">
        <v>764</v>
      </c>
      <c r="B375" s="58">
        <f>G236</f>
        <v>7.7077453326209087</v>
      </c>
      <c r="C375" s="58">
        <v>2.5</v>
      </c>
      <c r="D375" s="58">
        <f>I301</f>
        <v>4.3257420407901845</v>
      </c>
      <c r="E375" s="126">
        <f t="shared" ref="E375:E380" si="96">MIN(B375,C375,D375)</f>
        <v>2.5</v>
      </c>
      <c r="F375" s="464"/>
      <c r="G375" s="465"/>
      <c r="H375" s="466"/>
      <c r="I375" s="466"/>
      <c r="K375" s="81">
        <f t="shared" ref="K375:O380" si="97">MIN(K$310*$B375/$B$340,$C375/$C$340,K$310*$D375/$D$340)</f>
        <v>1.9964963265185465</v>
      </c>
      <c r="L375" s="81">
        <f t="shared" si="97"/>
        <v>2.3292457142716376</v>
      </c>
      <c r="M375" s="81">
        <f t="shared" si="97"/>
        <v>2.5</v>
      </c>
      <c r="N375" s="81">
        <f t="shared" si="97"/>
        <v>2.5</v>
      </c>
      <c r="O375" s="81">
        <f t="shared" si="97"/>
        <v>2.5</v>
      </c>
      <c r="P375"/>
      <c r="Q375" s="105"/>
      <c r="R375" s="105"/>
      <c r="S375" s="105"/>
      <c r="T375" s="105"/>
      <c r="U375" s="105"/>
      <c r="V375" s="105"/>
    </row>
    <row r="376" spans="1:39" ht="45">
      <c r="A376" s="62" t="s">
        <v>765</v>
      </c>
      <c r="B376" s="58">
        <f>G237</f>
        <v>9.3427216152980712</v>
      </c>
      <c r="C376" s="58">
        <v>2.5</v>
      </c>
      <c r="D376" s="58">
        <f>I302</f>
        <v>5.6998499553586548</v>
      </c>
      <c r="E376" s="126">
        <f t="shared" si="96"/>
        <v>2.5</v>
      </c>
      <c r="F376" s="467"/>
      <c r="G376" s="67"/>
      <c r="H376" s="468"/>
      <c r="I376" s="468"/>
      <c r="K376" s="81">
        <f t="shared" si="97"/>
        <v>2.5</v>
      </c>
      <c r="L376" s="81">
        <f t="shared" si="97"/>
        <v>2.5</v>
      </c>
      <c r="M376" s="81">
        <f t="shared" si="97"/>
        <v>2.5</v>
      </c>
      <c r="N376" s="81">
        <f t="shared" si="97"/>
        <v>2.5</v>
      </c>
      <c r="O376" s="81">
        <f t="shared" si="97"/>
        <v>2.5</v>
      </c>
      <c r="P376"/>
      <c r="Q376" s="105"/>
      <c r="R376" s="105"/>
      <c r="S376" s="105"/>
      <c r="T376" s="105"/>
      <c r="U376" s="105"/>
      <c r="V376" s="105"/>
    </row>
    <row r="377" spans="1:39" ht="45">
      <c r="A377" s="62" t="s">
        <v>766</v>
      </c>
      <c r="B377" s="58">
        <f>G238</f>
        <v>9.3427216152980712</v>
      </c>
      <c r="C377" s="58">
        <v>2.5</v>
      </c>
      <c r="D377" s="58">
        <f>I303</f>
        <v>5.6998499553586548</v>
      </c>
      <c r="E377" s="126">
        <f t="shared" si="96"/>
        <v>2.5</v>
      </c>
      <c r="F377" s="467"/>
      <c r="G377" s="67"/>
      <c r="H377" s="468"/>
      <c r="I377" s="468"/>
      <c r="K377" s="81">
        <f t="shared" si="97"/>
        <v>2.5</v>
      </c>
      <c r="L377" s="81">
        <f t="shared" si="97"/>
        <v>2.5</v>
      </c>
      <c r="M377" s="81">
        <f t="shared" si="97"/>
        <v>2.5</v>
      </c>
      <c r="N377" s="81">
        <f t="shared" si="97"/>
        <v>2.5</v>
      </c>
      <c r="O377" s="81">
        <f t="shared" si="97"/>
        <v>2.5</v>
      </c>
      <c r="P377"/>
      <c r="Q377" s="105"/>
      <c r="R377" s="105"/>
      <c r="S377" s="105"/>
      <c r="T377" s="105"/>
      <c r="U377" s="105"/>
      <c r="V377" s="105"/>
    </row>
    <row r="378" spans="1:39" ht="45">
      <c r="A378" s="62" t="s">
        <v>767</v>
      </c>
      <c r="B378" s="58">
        <f>G239</f>
        <v>10.977697897975233</v>
      </c>
      <c r="C378" s="58">
        <v>2.5</v>
      </c>
      <c r="D378" s="58">
        <f>I304</f>
        <v>8.1423948599315175</v>
      </c>
      <c r="E378" s="126">
        <f t="shared" si="96"/>
        <v>2.5</v>
      </c>
      <c r="F378" s="467"/>
      <c r="G378" s="67"/>
      <c r="H378" s="468"/>
      <c r="I378" s="468"/>
      <c r="K378" s="81">
        <f t="shared" si="97"/>
        <v>2.5</v>
      </c>
      <c r="L378" s="81">
        <f t="shared" si="97"/>
        <v>2.5</v>
      </c>
      <c r="M378" s="81">
        <f t="shared" si="97"/>
        <v>2.5</v>
      </c>
      <c r="N378" s="81">
        <f t="shared" si="97"/>
        <v>2.5</v>
      </c>
      <c r="O378" s="569">
        <f t="shared" si="97"/>
        <v>2.5</v>
      </c>
      <c r="P378" s="129"/>
      <c r="Q378" s="105"/>
      <c r="R378" s="105"/>
      <c r="S378" s="105"/>
      <c r="T378" s="105"/>
      <c r="U378" s="105"/>
      <c r="V378" s="105"/>
    </row>
    <row r="379" spans="1:39" ht="45">
      <c r="A379" s="259" t="s">
        <v>380</v>
      </c>
      <c r="B379" s="58">
        <f t="shared" ref="B379:B380" si="98">G240</f>
        <v>5.9937262203768435</v>
      </c>
      <c r="C379" s="58">
        <v>2.5</v>
      </c>
      <c r="D379" s="58">
        <f t="shared" ref="D379:D380" si="99">I305</f>
        <v>1.1213768528916248</v>
      </c>
      <c r="E379" s="126">
        <f t="shared" si="96"/>
        <v>1.1213768528916248</v>
      </c>
      <c r="F379" s="568"/>
      <c r="G379" s="158"/>
      <c r="K379" s="81">
        <f t="shared" si="97"/>
        <v>0.51755854748844221</v>
      </c>
      <c r="L379" s="81">
        <f t="shared" si="97"/>
        <v>0.60381830540318249</v>
      </c>
      <c r="M379" s="81">
        <f t="shared" si="97"/>
        <v>0.69007806331792299</v>
      </c>
      <c r="N379" s="81">
        <f t="shared" si="97"/>
        <v>0.77633782123266337</v>
      </c>
      <c r="O379" s="569">
        <f t="shared" si="97"/>
        <v>0.86259757914740365</v>
      </c>
      <c r="P379" s="570"/>
      <c r="Q379" s="159"/>
      <c r="S379" s="105"/>
      <c r="T379" s="105"/>
      <c r="U379" s="155"/>
      <c r="V379" s="2"/>
      <c r="W379" s="2"/>
      <c r="X379" s="2"/>
      <c r="Y379" s="2"/>
      <c r="Z379" s="2"/>
      <c r="AA379" s="2"/>
      <c r="AB379" s="2"/>
      <c r="AC379" s="2"/>
      <c r="AE379" s="155"/>
      <c r="AF379" s="2"/>
      <c r="AG379" s="2"/>
      <c r="AH379" s="2"/>
      <c r="AI379" s="2"/>
      <c r="AJ379" s="2"/>
      <c r="AK379" s="2"/>
      <c r="AL379" s="2"/>
      <c r="AM379" s="2"/>
    </row>
    <row r="380" spans="1:39" ht="45">
      <c r="A380" s="259" t="s">
        <v>381</v>
      </c>
      <c r="B380" s="58">
        <f t="shared" si="98"/>
        <v>5.9937262203768435</v>
      </c>
      <c r="C380" s="58">
        <v>2.5</v>
      </c>
      <c r="D380" s="58">
        <f t="shared" si="99"/>
        <v>1.1213768528916248</v>
      </c>
      <c r="E380" s="126">
        <f t="shared" si="96"/>
        <v>1.1213768528916248</v>
      </c>
      <c r="F380" s="568"/>
      <c r="G380" s="158"/>
      <c r="K380" s="81">
        <f t="shared" si="97"/>
        <v>0.51755854748844221</v>
      </c>
      <c r="L380" s="81">
        <f t="shared" si="97"/>
        <v>0.60381830540318249</v>
      </c>
      <c r="M380" s="81">
        <f t="shared" si="97"/>
        <v>0.69007806331792299</v>
      </c>
      <c r="N380" s="81">
        <f t="shared" si="97"/>
        <v>0.77633782123266337</v>
      </c>
      <c r="O380" s="569">
        <f t="shared" si="97"/>
        <v>0.86259757914740365</v>
      </c>
      <c r="P380" s="570"/>
      <c r="Q380" s="159"/>
      <c r="S380" s="105"/>
      <c r="T380" s="105"/>
      <c r="U380" s="2"/>
      <c r="V380" s="155"/>
      <c r="W380" s="2"/>
      <c r="X380" s="155"/>
      <c r="Y380" s="2"/>
      <c r="Z380" s="2"/>
      <c r="AA380" s="2"/>
      <c r="AB380" s="2"/>
      <c r="AE380" s="2"/>
      <c r="AF380" s="155"/>
      <c r="AG380" s="2"/>
      <c r="AH380" s="155"/>
      <c r="AI380" s="2"/>
      <c r="AJ380" s="2"/>
      <c r="AK380" s="2"/>
      <c r="AL380" s="2"/>
    </row>
    <row r="381" spans="1:39">
      <c r="D381" s="92"/>
      <c r="U381" s="155"/>
      <c r="V381" s="2"/>
      <c r="W381" s="2"/>
      <c r="X381" s="2"/>
      <c r="Y381" s="2"/>
      <c r="Z381" s="2"/>
      <c r="AA381" s="155"/>
      <c r="AB381" s="2"/>
      <c r="AE381" s="155"/>
      <c r="AF381" s="2"/>
      <c r="AG381" s="2"/>
      <c r="AH381" s="2"/>
      <c r="AI381" s="2"/>
      <c r="AJ381" s="2"/>
      <c r="AK381" s="155"/>
      <c r="AL381" s="2"/>
    </row>
    <row r="382" spans="1:39">
      <c r="D382" s="92"/>
      <c r="P382"/>
      <c r="Q382"/>
      <c r="R382"/>
      <c r="S382"/>
      <c r="U382" s="2"/>
      <c r="V382" s="2"/>
      <c r="W382" s="2"/>
      <c r="X382" s="2"/>
      <c r="Y382" s="2"/>
      <c r="Z382" s="2"/>
      <c r="AA382" s="155"/>
      <c r="AB382" s="2"/>
      <c r="AE382" s="2"/>
      <c r="AF382" s="2"/>
      <c r="AG382" s="2"/>
      <c r="AH382" s="2"/>
      <c r="AI382" s="2"/>
      <c r="AJ382" s="2"/>
      <c r="AK382" s="155"/>
      <c r="AL382" s="2"/>
    </row>
    <row r="383" spans="1:39">
      <c r="U383" s="155"/>
      <c r="V383" s="2"/>
      <c r="W383" s="2"/>
      <c r="X383" s="2"/>
      <c r="Y383" s="2"/>
      <c r="Z383" s="155"/>
      <c r="AA383" s="2"/>
      <c r="AB383" s="155"/>
      <c r="AE383" s="155"/>
      <c r="AF383" s="2"/>
      <c r="AG383" s="2"/>
      <c r="AH383" s="2"/>
      <c r="AI383" s="2"/>
      <c r="AJ383" s="2"/>
      <c r="AK383" s="2"/>
      <c r="AL383" s="2"/>
    </row>
    <row r="384" spans="1:39" ht="18.75">
      <c r="A384" s="50" t="s">
        <v>82</v>
      </c>
      <c r="U384" s="2"/>
      <c r="V384" s="2"/>
      <c r="W384" s="2"/>
      <c r="X384" s="2"/>
      <c r="Y384" s="2"/>
      <c r="Z384" s="2"/>
      <c r="AA384" s="2"/>
      <c r="AB384" s="2"/>
      <c r="AE384" s="2"/>
      <c r="AF384" s="2"/>
      <c r="AG384" s="2"/>
      <c r="AH384" s="2"/>
      <c r="AI384" s="2"/>
      <c r="AJ384" s="2"/>
      <c r="AK384" s="2"/>
      <c r="AL384" s="2"/>
    </row>
    <row r="385" spans="1:39">
      <c r="U385" s="2"/>
      <c r="V385" s="2"/>
      <c r="W385" s="2"/>
      <c r="X385" s="2"/>
      <c r="Y385" s="2"/>
      <c r="Z385" s="2"/>
      <c r="AA385" s="2"/>
      <c r="AB385" s="2"/>
      <c r="AE385" s="2"/>
      <c r="AF385" s="2"/>
      <c r="AG385" s="2"/>
      <c r="AH385" s="2"/>
      <c r="AI385" s="2"/>
      <c r="AJ385" s="2"/>
      <c r="AK385" s="2"/>
      <c r="AL385" s="2"/>
    </row>
    <row r="386" spans="1:39" ht="18">
      <c r="A386" s="3" t="s">
        <v>2</v>
      </c>
      <c r="B386" s="4" t="s">
        <v>41</v>
      </c>
      <c r="C386" s="4" t="s">
        <v>83</v>
      </c>
      <c r="D386" s="4" t="s">
        <v>84</v>
      </c>
      <c r="E386" s="4" t="s">
        <v>85</v>
      </c>
      <c r="F386" s="4" t="s">
        <v>86</v>
      </c>
      <c r="I386" s="2" t="s">
        <v>87</v>
      </c>
      <c r="L386" s="2"/>
      <c r="U386" s="2"/>
      <c r="V386" s="2"/>
      <c r="W386" s="2"/>
      <c r="X386" s="2"/>
      <c r="Y386" s="2"/>
      <c r="Z386" s="2"/>
      <c r="AA386" s="2"/>
      <c r="AB386" s="2"/>
      <c r="AE386" s="2"/>
      <c r="AF386" s="2"/>
      <c r="AG386" s="2"/>
      <c r="AH386" s="2"/>
      <c r="AI386" s="2"/>
      <c r="AJ386" s="2"/>
      <c r="AK386" s="2"/>
      <c r="AL386" s="2"/>
    </row>
    <row r="387" spans="1:39">
      <c r="A387" s="7"/>
      <c r="B387" s="8" t="s">
        <v>19</v>
      </c>
      <c r="C387" s="8" t="s">
        <v>18</v>
      </c>
      <c r="D387" s="8" t="s">
        <v>18</v>
      </c>
      <c r="E387" s="8" t="s">
        <v>88</v>
      </c>
      <c r="F387" s="8" t="s">
        <v>17</v>
      </c>
      <c r="I387" s="2" t="s">
        <v>89</v>
      </c>
      <c r="L387" s="2"/>
      <c r="U387" s="2"/>
      <c r="V387" s="2"/>
      <c r="W387" s="2"/>
      <c r="X387" s="2"/>
      <c r="Y387" s="2"/>
      <c r="Z387" s="2"/>
      <c r="AA387" s="2"/>
      <c r="AB387" s="2"/>
      <c r="AE387" s="2"/>
      <c r="AF387" s="2"/>
      <c r="AG387" s="2"/>
      <c r="AH387" s="2"/>
      <c r="AI387" s="2"/>
      <c r="AJ387" s="2"/>
      <c r="AK387" s="2"/>
      <c r="AL387" s="2"/>
    </row>
    <row r="388" spans="1:39">
      <c r="A388" s="41" t="s">
        <v>238</v>
      </c>
      <c r="B388" s="32">
        <v>1</v>
      </c>
      <c r="C388" s="60">
        <v>12</v>
      </c>
      <c r="D388" s="60">
        <v>49</v>
      </c>
      <c r="E388" s="59" t="e">
        <f>0.082*(1-0.01*C388)*$B$411/(1.35+0.015*C391)</f>
        <v>#N/A</v>
      </c>
      <c r="F388" s="59" t="e">
        <f t="shared" ref="F388:F395" si="100">B388*MIN(0.4*C388*D388*E388/1000,1.15/1000*SQRT(2*I388*E388*C388)+((0.52*SQRT(C388)*D388^0.9*$B$411^0.8)/1000)/4)</f>
        <v>#N/A</v>
      </c>
      <c r="G388" s="49" t="s">
        <v>239</v>
      </c>
      <c r="H388" s="49"/>
      <c r="I388" s="167">
        <f t="shared" ref="I388:I394" si="101">0.15*600*C388^2.6</f>
        <v>57559.067465202104</v>
      </c>
      <c r="L388" s="2"/>
      <c r="U388" s="2"/>
      <c r="V388" s="2"/>
      <c r="W388" s="2"/>
      <c r="X388" s="2"/>
      <c r="Y388" s="2"/>
      <c r="Z388" s="155"/>
      <c r="AA388" s="2"/>
      <c r="AB388" s="2"/>
      <c r="AE388" s="2"/>
      <c r="AF388" s="2"/>
      <c r="AG388" s="2"/>
      <c r="AH388" s="2"/>
      <c r="AI388" s="2"/>
      <c r="AJ388" s="2"/>
      <c r="AK388" s="2"/>
      <c r="AL388" s="2"/>
    </row>
    <row r="389" spans="1:39">
      <c r="A389" s="41" t="s">
        <v>240</v>
      </c>
      <c r="B389" s="32">
        <v>1</v>
      </c>
      <c r="C389" s="60">
        <v>12</v>
      </c>
      <c r="D389" s="60">
        <v>45</v>
      </c>
      <c r="E389" s="59" t="e">
        <f>0.082*(1-0.01*C389)*$B$411/(1.35+0.015*C389)</f>
        <v>#N/A</v>
      </c>
      <c r="F389" s="59" t="e">
        <f t="shared" si="100"/>
        <v>#N/A</v>
      </c>
      <c r="G389" s="49" t="s">
        <v>241</v>
      </c>
      <c r="H389" s="49"/>
      <c r="I389" s="167">
        <f t="shared" si="101"/>
        <v>57559.067465202104</v>
      </c>
      <c r="L389" s="2"/>
      <c r="U389" s="2"/>
      <c r="V389" s="2"/>
      <c r="W389" s="2"/>
      <c r="X389" s="2"/>
      <c r="Y389" s="2"/>
      <c r="Z389" s="155"/>
      <c r="AA389" s="2"/>
      <c r="AB389" s="2"/>
      <c r="AE389" s="2"/>
      <c r="AF389" s="2"/>
      <c r="AG389" s="2"/>
      <c r="AH389" s="2"/>
      <c r="AI389" s="2"/>
      <c r="AJ389" s="2"/>
      <c r="AK389" s="2"/>
      <c r="AL389" s="2"/>
    </row>
    <row r="390" spans="1:39">
      <c r="A390" s="41" t="s">
        <v>242</v>
      </c>
      <c r="B390" s="32">
        <v>1</v>
      </c>
      <c r="C390" s="60">
        <v>12</v>
      </c>
      <c r="D390" s="60">
        <v>49</v>
      </c>
      <c r="E390" s="59" t="e">
        <f>0.082*(1-0.01*C390)*$B$411</f>
        <v>#N/A</v>
      </c>
      <c r="F390" s="59" t="e">
        <f t="shared" si="100"/>
        <v>#N/A</v>
      </c>
      <c r="G390" s="49"/>
      <c r="H390" s="49"/>
      <c r="I390" s="167">
        <f t="shared" si="101"/>
        <v>57559.067465202104</v>
      </c>
      <c r="L390" s="2"/>
      <c r="U390" s="2"/>
      <c r="V390" s="2"/>
      <c r="W390" s="2"/>
      <c r="X390" s="2"/>
      <c r="Y390" s="2"/>
      <c r="Z390" s="155"/>
      <c r="AA390" s="2"/>
      <c r="AB390" s="2"/>
      <c r="AE390" s="2"/>
      <c r="AF390" s="2"/>
      <c r="AG390" s="2"/>
      <c r="AH390" s="2"/>
      <c r="AI390" s="2"/>
      <c r="AJ390" s="2"/>
      <c r="AK390" s="2"/>
      <c r="AL390" s="2"/>
    </row>
    <row r="391" spans="1:39">
      <c r="A391" s="41" t="s">
        <v>243</v>
      </c>
      <c r="B391" s="32">
        <v>1</v>
      </c>
      <c r="C391" s="60">
        <v>12</v>
      </c>
      <c r="D391" s="60">
        <v>49</v>
      </c>
      <c r="E391" s="59" t="e">
        <f>0.082*(1-0.01*C391)*$B$411</f>
        <v>#N/A</v>
      </c>
      <c r="F391" s="59" t="e">
        <f t="shared" si="100"/>
        <v>#N/A</v>
      </c>
      <c r="G391" s="49"/>
      <c r="H391" s="49"/>
      <c r="I391" s="167">
        <f t="shared" si="101"/>
        <v>57559.067465202104</v>
      </c>
      <c r="L391" s="2"/>
      <c r="U391" s="2"/>
      <c r="V391" s="2"/>
      <c r="W391" s="2"/>
      <c r="X391" s="2"/>
      <c r="Y391" s="2"/>
      <c r="Z391" s="155"/>
      <c r="AA391" s="2"/>
      <c r="AB391" s="2"/>
      <c r="AE391" s="2"/>
      <c r="AF391" s="2"/>
      <c r="AG391" s="2"/>
      <c r="AH391" s="2"/>
      <c r="AI391" s="2"/>
      <c r="AJ391" s="2"/>
      <c r="AK391" s="2"/>
      <c r="AL391" s="2"/>
    </row>
    <row r="392" spans="1:39">
      <c r="A392" s="41" t="s">
        <v>244</v>
      </c>
      <c r="B392" s="32">
        <v>1</v>
      </c>
      <c r="C392" s="60">
        <v>16</v>
      </c>
      <c r="D392" s="60">
        <v>46</v>
      </c>
      <c r="E392" s="59" t="e">
        <f>0.082*(1-0.01*C392)*$B$411/(1.35+0.015*C392)</f>
        <v>#N/A</v>
      </c>
      <c r="F392" s="59" t="e">
        <f t="shared" si="100"/>
        <v>#N/A</v>
      </c>
      <c r="G392" s="49" t="s">
        <v>239</v>
      </c>
      <c r="H392" s="49"/>
      <c r="I392" s="167">
        <f t="shared" si="101"/>
        <v>121605.84905682993</v>
      </c>
      <c r="L392" s="2"/>
      <c r="U392" s="2"/>
      <c r="V392" s="2"/>
      <c r="W392" s="2"/>
      <c r="X392" s="2"/>
      <c r="Y392" s="2"/>
      <c r="Z392" s="155"/>
      <c r="AA392" s="2"/>
      <c r="AB392" s="2"/>
      <c r="AE392" s="2"/>
      <c r="AF392" s="2"/>
      <c r="AG392" s="2"/>
      <c r="AH392" s="2"/>
      <c r="AI392" s="2"/>
      <c r="AJ392" s="2"/>
      <c r="AK392" s="2"/>
      <c r="AL392" s="2"/>
    </row>
    <row r="393" spans="1:39">
      <c r="A393" s="41" t="s">
        <v>245</v>
      </c>
      <c r="B393" s="32">
        <v>1</v>
      </c>
      <c r="C393" s="60">
        <v>16</v>
      </c>
      <c r="D393" s="60">
        <v>46</v>
      </c>
      <c r="E393" s="59" t="e">
        <f>0.082*(1-0.01*C393)*$B$411/(1.35+0.015*C393)</f>
        <v>#N/A</v>
      </c>
      <c r="F393" s="59" t="e">
        <f t="shared" si="100"/>
        <v>#N/A</v>
      </c>
      <c r="G393" s="49" t="s">
        <v>239</v>
      </c>
      <c r="H393" s="49"/>
      <c r="I393" s="167">
        <f>0.15*600*C393^2.6</f>
        <v>121605.84905682993</v>
      </c>
      <c r="L393" s="2"/>
      <c r="U393" s="2"/>
      <c r="V393" s="2"/>
      <c r="W393" s="2"/>
      <c r="X393" s="2"/>
      <c r="Y393" s="2"/>
      <c r="Z393" s="155"/>
      <c r="AA393" s="2"/>
      <c r="AB393" s="2"/>
      <c r="AE393" s="2"/>
      <c r="AF393" s="2"/>
      <c r="AG393" s="2"/>
      <c r="AH393" s="2"/>
      <c r="AI393" s="2"/>
      <c r="AJ393" s="2"/>
      <c r="AK393" s="2"/>
      <c r="AL393" s="2"/>
    </row>
    <row r="394" spans="1:39">
      <c r="A394" s="41" t="s">
        <v>246</v>
      </c>
      <c r="B394" s="32">
        <v>1</v>
      </c>
      <c r="C394" s="60">
        <v>16</v>
      </c>
      <c r="D394" s="60">
        <v>45</v>
      </c>
      <c r="E394" s="59" t="e">
        <f>0.082*(1-0.01*C394)*$B$411/(1.35+0.015*C394)</f>
        <v>#N/A</v>
      </c>
      <c r="F394" s="59" t="e">
        <f t="shared" si="100"/>
        <v>#N/A</v>
      </c>
      <c r="G394" s="49" t="s">
        <v>241</v>
      </c>
      <c r="H394" s="49"/>
      <c r="I394" s="167">
        <f t="shared" si="101"/>
        <v>121605.84905682993</v>
      </c>
      <c r="L394" s="2"/>
      <c r="U394" s="2"/>
      <c r="V394" s="2"/>
      <c r="W394" s="2"/>
      <c r="X394" s="2"/>
      <c r="Y394" s="155"/>
      <c r="Z394" s="2"/>
      <c r="AA394" s="2"/>
      <c r="AB394" s="2"/>
      <c r="AE394" s="2"/>
      <c r="AF394" s="2"/>
      <c r="AG394" s="2"/>
      <c r="AH394" s="2"/>
      <c r="AI394" s="2"/>
      <c r="AJ394" s="2"/>
      <c r="AK394" s="2"/>
      <c r="AL394" s="2"/>
    </row>
    <row r="395" spans="1:39">
      <c r="A395" s="41" t="s">
        <v>247</v>
      </c>
      <c r="B395" s="32">
        <v>1</v>
      </c>
      <c r="C395" s="60">
        <v>10</v>
      </c>
      <c r="D395" s="60">
        <v>60</v>
      </c>
      <c r="E395" s="59" t="e">
        <f>0.082*(1-0.01*C395)*$B$411/(1.35+0.015*C395)</f>
        <v>#N/A</v>
      </c>
      <c r="F395" s="59" t="e">
        <f t="shared" si="100"/>
        <v>#N/A</v>
      </c>
      <c r="G395" s="49" t="s">
        <v>239</v>
      </c>
      <c r="H395" s="49"/>
      <c r="I395" s="167">
        <v>35000</v>
      </c>
      <c r="L395" s="2"/>
    </row>
    <row r="396" spans="1:39">
      <c r="A396" s="41" t="s">
        <v>248</v>
      </c>
      <c r="B396" s="32">
        <v>1</v>
      </c>
      <c r="C396" s="60">
        <v>16</v>
      </c>
      <c r="D396" s="60">
        <v>46</v>
      </c>
      <c r="E396" s="59" t="e">
        <f>0.082*(1-0.01*C396)*$B$411</f>
        <v>#N/A</v>
      </c>
      <c r="F396" s="59" t="e">
        <f>B396*MIN(0.4*C396*D396*E396/1000,1.15/1000*SQRT(2*I397*E396*C396)+((0.52*SQRT(C396)*D396^0.9*$B$411^0.8)/1000)/4)</f>
        <v>#N/A</v>
      </c>
      <c r="G396" s="49"/>
      <c r="H396" s="49"/>
      <c r="I396" s="167">
        <f>0.15*600*C397^2.6</f>
        <v>121605.84905682993</v>
      </c>
      <c r="L396" s="2"/>
    </row>
    <row r="397" spans="1:39">
      <c r="A397" s="41" t="s">
        <v>249</v>
      </c>
      <c r="B397" s="32">
        <v>1</v>
      </c>
      <c r="C397" s="60">
        <v>16</v>
      </c>
      <c r="D397" s="60">
        <v>46</v>
      </c>
      <c r="E397" s="59" t="e">
        <f>0.082*(1-0.01*C397)*$B$411</f>
        <v>#N/A</v>
      </c>
      <c r="F397" s="59" t="e">
        <f>B397*MIN(0.4*C397*D397*E397/1000,1.15/1000*SQRT(2*I396*E397*C397)+((0.52*SQRT(C397)*D397^0.9*$B$411^0.8)/1000)/4)</f>
        <v>#N/A</v>
      </c>
      <c r="G397" s="49"/>
      <c r="H397" s="49"/>
      <c r="I397" s="167">
        <f>0.15*600*C396^2.6</f>
        <v>121605.84905682993</v>
      </c>
      <c r="L397" s="2"/>
      <c r="U397" s="2"/>
      <c r="V397" s="2"/>
      <c r="W397" s="2"/>
      <c r="X397" s="2"/>
      <c r="Y397" s="2"/>
      <c r="Z397" s="2"/>
      <c r="AA397" s="2"/>
      <c r="AB397" s="2"/>
      <c r="AC397" s="2"/>
      <c r="AE397" s="2"/>
      <c r="AF397" s="2"/>
      <c r="AG397" s="2"/>
      <c r="AH397" s="2"/>
      <c r="AI397" s="2"/>
      <c r="AJ397" s="2"/>
      <c r="AK397" s="2"/>
      <c r="AL397" s="2"/>
      <c r="AM397" s="2"/>
    </row>
    <row r="398" spans="1:39">
      <c r="B398" s="49"/>
      <c r="C398" s="49"/>
      <c r="D398" s="49"/>
      <c r="E398" s="49"/>
      <c r="F398" s="49"/>
      <c r="G398" s="49"/>
      <c r="H398" s="49"/>
      <c r="I398" s="49"/>
      <c r="U398" s="2"/>
      <c r="V398" s="2"/>
      <c r="W398" s="2"/>
      <c r="X398" s="2"/>
      <c r="Y398" s="2"/>
      <c r="Z398" s="2"/>
      <c r="AA398" s="2"/>
      <c r="AB398" s="2"/>
      <c r="AC398" s="2"/>
      <c r="AE398" s="2"/>
      <c r="AF398" s="2"/>
      <c r="AG398" s="2"/>
      <c r="AH398" s="2"/>
      <c r="AI398" s="2"/>
      <c r="AJ398" s="2"/>
      <c r="AK398" s="2"/>
      <c r="AL398" s="2"/>
      <c r="AM398" s="2"/>
    </row>
    <row r="399" spans="1:39" ht="18">
      <c r="A399" s="3" t="s">
        <v>2</v>
      </c>
      <c r="B399" s="102" t="s">
        <v>41</v>
      </c>
      <c r="C399" s="102" t="s">
        <v>9</v>
      </c>
      <c r="D399" s="102" t="s">
        <v>107</v>
      </c>
      <c r="E399" s="102" t="s">
        <v>108</v>
      </c>
      <c r="F399" s="102" t="s">
        <v>77</v>
      </c>
      <c r="G399" s="102" t="s">
        <v>109</v>
      </c>
      <c r="H399" s="102" t="s">
        <v>110</v>
      </c>
      <c r="I399" s="49"/>
      <c r="U399" s="2"/>
      <c r="V399" s="2"/>
      <c r="W399" s="2"/>
      <c r="X399" s="2"/>
      <c r="Y399" s="2"/>
      <c r="Z399" s="2"/>
      <c r="AA399" s="2"/>
      <c r="AB399" s="2"/>
      <c r="AC399" s="2"/>
      <c r="AE399" s="2"/>
      <c r="AF399" s="2"/>
      <c r="AG399" s="2"/>
      <c r="AH399" s="2"/>
      <c r="AI399" s="2"/>
      <c r="AJ399" s="2"/>
      <c r="AK399" s="2"/>
      <c r="AL399" s="2"/>
      <c r="AM399" s="2"/>
    </row>
    <row r="400" spans="1:39">
      <c r="A400" s="7"/>
      <c r="B400" s="44" t="s">
        <v>19</v>
      </c>
      <c r="C400" s="44" t="s">
        <v>18</v>
      </c>
      <c r="D400" s="44" t="s">
        <v>89</v>
      </c>
      <c r="E400" s="44" t="s">
        <v>88</v>
      </c>
      <c r="F400" s="44" t="s">
        <v>18</v>
      </c>
      <c r="G400" s="44" t="s">
        <v>17</v>
      </c>
      <c r="H400" s="44" t="s">
        <v>17</v>
      </c>
      <c r="I400" s="49"/>
      <c r="U400" s="2"/>
      <c r="V400" s="155"/>
      <c r="W400" s="2"/>
      <c r="X400" s="2"/>
      <c r="Y400" s="2"/>
      <c r="Z400" s="2"/>
      <c r="AA400" s="2"/>
      <c r="AB400" s="2"/>
      <c r="AE400" s="2"/>
      <c r="AF400" s="155"/>
      <c r="AG400" s="2"/>
      <c r="AH400" s="2"/>
      <c r="AI400" s="2"/>
      <c r="AJ400" s="2"/>
      <c r="AK400" s="2"/>
      <c r="AL400" s="2"/>
    </row>
    <row r="401" spans="1:39">
      <c r="A401" s="41" t="s">
        <v>250</v>
      </c>
      <c r="B401" s="32">
        <v>2</v>
      </c>
      <c r="C401" s="60">
        <v>6</v>
      </c>
      <c r="D401" s="60">
        <v>6300</v>
      </c>
      <c r="E401" s="59" t="e">
        <f>(0.082)*$B$411*C401^-0.3</f>
        <v>#N/A</v>
      </c>
      <c r="F401" s="60">
        <v>44</v>
      </c>
      <c r="G401" s="168" t="e">
        <f>(0.52*SQRT(C401)*44^0.9*$B$411^0.8)/1200</f>
        <v>#N/A</v>
      </c>
      <c r="H401" s="59" t="e">
        <f t="shared" ref="H401:H408" si="102">B401*MIN((2.3*SQRT(C401*D401*E401))/1000+G401/4,E401*C401*F401/1000,E401*C401*F401/1000*(SQRT(2+4*D401/(C401*E401*F401^2))-1)+G401/4)</f>
        <v>#N/A</v>
      </c>
      <c r="I401" s="49" t="s">
        <v>251</v>
      </c>
      <c r="U401" s="2"/>
      <c r="V401" s="155"/>
      <c r="W401" s="2"/>
      <c r="X401" s="2"/>
      <c r="Y401" s="2"/>
      <c r="Z401" s="2"/>
      <c r="AA401" s="2"/>
      <c r="AB401" s="2"/>
      <c r="AE401" s="2"/>
      <c r="AF401" s="155"/>
      <c r="AG401" s="2"/>
      <c r="AH401" s="2"/>
      <c r="AI401" s="2"/>
      <c r="AJ401" s="2"/>
      <c r="AK401" s="2"/>
      <c r="AL401" s="2"/>
    </row>
    <row r="402" spans="1:39">
      <c r="A402" s="41" t="s">
        <v>242</v>
      </c>
      <c r="B402" s="32">
        <v>2</v>
      </c>
      <c r="C402" s="60">
        <v>6</v>
      </c>
      <c r="D402" s="60">
        <v>6300</v>
      </c>
      <c r="E402" s="59" t="e">
        <f>(0.033+0)*$B$411*C402^-0.3</f>
        <v>#N/A</v>
      </c>
      <c r="F402" s="60">
        <v>44</v>
      </c>
      <c r="G402" s="168" t="e">
        <f>(0.52*SQRT(C402)*44^0.9*$B$411^0.8)/1200</f>
        <v>#N/A</v>
      </c>
      <c r="H402" s="59" t="e">
        <f t="shared" si="102"/>
        <v>#N/A</v>
      </c>
      <c r="I402" s="49"/>
      <c r="U402" s="2"/>
      <c r="V402" s="155"/>
      <c r="W402" s="2"/>
      <c r="X402" s="2"/>
      <c r="Y402" s="2"/>
      <c r="Z402" s="2"/>
      <c r="AA402" s="2"/>
      <c r="AB402" s="2"/>
      <c r="AE402" s="2"/>
      <c r="AF402" s="155"/>
      <c r="AG402" s="2"/>
      <c r="AH402" s="2"/>
      <c r="AI402" s="2"/>
      <c r="AJ402" s="2"/>
      <c r="AK402" s="2"/>
      <c r="AL402" s="2"/>
    </row>
    <row r="403" spans="1:39">
      <c r="A403" s="41" t="s">
        <v>243</v>
      </c>
      <c r="B403" s="32">
        <v>2</v>
      </c>
      <c r="C403" s="60">
        <v>6</v>
      </c>
      <c r="D403" s="60">
        <v>6300</v>
      </c>
      <c r="E403" s="59" t="e">
        <f>(0.082)*$B$411*C403^-0.3</f>
        <v>#N/A</v>
      </c>
      <c r="F403" s="60">
        <v>44</v>
      </c>
      <c r="G403" s="168" t="e">
        <f>(0.52*SQRT(C403)*44^0.9*$B$411^0.8)/1000</f>
        <v>#N/A</v>
      </c>
      <c r="H403" s="59" t="e">
        <f t="shared" si="102"/>
        <v>#N/A</v>
      </c>
      <c r="I403" s="49"/>
      <c r="U403" s="2"/>
      <c r="V403" s="155"/>
      <c r="W403" s="2"/>
      <c r="X403" s="2"/>
      <c r="Y403" s="2"/>
      <c r="Z403" s="2"/>
      <c r="AA403" s="2"/>
      <c r="AB403" s="2"/>
      <c r="AE403" s="2"/>
      <c r="AF403" s="155"/>
      <c r="AG403" s="2"/>
      <c r="AH403" s="2"/>
      <c r="AI403" s="2"/>
      <c r="AJ403" s="2"/>
      <c r="AK403" s="2"/>
      <c r="AL403" s="2"/>
    </row>
    <row r="404" spans="1:39">
      <c r="A404" s="41" t="s">
        <v>244</v>
      </c>
      <c r="B404" s="32">
        <v>2</v>
      </c>
      <c r="C404" s="60">
        <v>10</v>
      </c>
      <c r="D404" s="60">
        <v>23900</v>
      </c>
      <c r="E404" s="59" t="e">
        <f>(0.082+0)*$B$411*C404^-0.3</f>
        <v>#N/A</v>
      </c>
      <c r="F404" s="60">
        <v>54</v>
      </c>
      <c r="G404" s="59" t="e">
        <f>(0.52*SQRT(C404)*50^0.9*$B$411^0.8)/1200</f>
        <v>#N/A</v>
      </c>
      <c r="H404" s="59" t="e">
        <f t="shared" si="102"/>
        <v>#N/A</v>
      </c>
      <c r="I404" s="49" t="s">
        <v>239</v>
      </c>
      <c r="U404" s="2"/>
      <c r="V404" s="155"/>
      <c r="W404" s="2"/>
      <c r="X404" s="2"/>
      <c r="Y404" s="2"/>
      <c r="Z404" s="2"/>
      <c r="AA404" s="2"/>
      <c r="AB404" s="2"/>
      <c r="AE404" s="2"/>
      <c r="AF404" s="155"/>
      <c r="AG404" s="2"/>
      <c r="AH404" s="2"/>
      <c r="AI404" s="2"/>
      <c r="AJ404" s="2"/>
      <c r="AK404" s="2"/>
      <c r="AL404" s="2"/>
    </row>
    <row r="405" spans="1:39">
      <c r="A405" s="41" t="s">
        <v>245</v>
      </c>
      <c r="B405" s="32">
        <v>2</v>
      </c>
      <c r="C405" s="60">
        <v>6</v>
      </c>
      <c r="D405" s="60">
        <v>6300</v>
      </c>
      <c r="E405" s="59" t="e">
        <f>(0.082+0)*$B$411*C405^-0.3</f>
        <v>#N/A</v>
      </c>
      <c r="F405" s="60">
        <v>44</v>
      </c>
      <c r="G405" s="59" t="e">
        <f>(0.52*SQRT(C405)*50^0.9*$B$411^0.8)/1200</f>
        <v>#N/A</v>
      </c>
      <c r="H405" s="59" t="e">
        <f>B405*MIN((2.3*SQRT(C405*D405*E405))/1000+G405/4,E405*C405*F405/1000,E405*C405*F405/1000*(SQRT(2+4*D405/(C405*E405*F405^2))-1)+G405/4)</f>
        <v>#N/A</v>
      </c>
      <c r="I405" s="49" t="s">
        <v>239</v>
      </c>
      <c r="U405" s="2"/>
      <c r="V405" s="155"/>
      <c r="W405" s="2"/>
      <c r="X405" s="2"/>
      <c r="Y405" s="2"/>
      <c r="Z405" s="2"/>
      <c r="AA405" s="2"/>
      <c r="AB405" s="2"/>
      <c r="AE405" s="2"/>
      <c r="AF405" s="155"/>
      <c r="AG405" s="2"/>
      <c r="AH405" s="2"/>
      <c r="AI405" s="2"/>
      <c r="AJ405" s="2"/>
      <c r="AK405" s="2"/>
      <c r="AL405" s="2"/>
    </row>
    <row r="406" spans="1:39">
      <c r="A406" s="41" t="s">
        <v>246</v>
      </c>
      <c r="B406" s="32">
        <v>2</v>
      </c>
      <c r="C406" s="60">
        <v>10</v>
      </c>
      <c r="D406" s="60">
        <v>23900</v>
      </c>
      <c r="E406" s="59" t="e">
        <f>(0.082+0)*$B$411*C406^-0.3</f>
        <v>#N/A</v>
      </c>
      <c r="F406" s="60">
        <v>45</v>
      </c>
      <c r="G406" s="59" t="e">
        <f>(0.52*SQRT(C406)*50^0.9*$B$411^0.8)/1200</f>
        <v>#N/A</v>
      </c>
      <c r="H406" s="59" t="e">
        <f t="shared" si="102"/>
        <v>#N/A</v>
      </c>
      <c r="I406" s="49" t="s">
        <v>241</v>
      </c>
      <c r="U406" s="2"/>
      <c r="V406" s="2"/>
      <c r="W406" s="2"/>
      <c r="X406" s="2"/>
      <c r="Y406" s="2"/>
      <c r="Z406" s="155"/>
      <c r="AA406" s="2"/>
      <c r="AB406" s="2"/>
      <c r="AE406" s="2"/>
      <c r="AF406" s="2"/>
      <c r="AG406" s="2"/>
      <c r="AH406" s="2"/>
      <c r="AI406" s="2"/>
      <c r="AJ406" s="2"/>
      <c r="AK406" s="2"/>
      <c r="AL406" s="2"/>
    </row>
    <row r="407" spans="1:39">
      <c r="A407" s="41" t="s">
        <v>248</v>
      </c>
      <c r="B407" s="32">
        <v>2</v>
      </c>
      <c r="C407" s="60">
        <v>10</v>
      </c>
      <c r="D407" s="60">
        <v>23900</v>
      </c>
      <c r="E407" s="59" t="e">
        <f>(0.082+0)*$B$411*C407^-0.3</f>
        <v>#N/A</v>
      </c>
      <c r="F407" s="60">
        <v>54</v>
      </c>
      <c r="G407" s="59" t="e">
        <f>(0.52*SQRT(C407)*50^0.9*$B$411^0.8)/1000</f>
        <v>#N/A</v>
      </c>
      <c r="H407" s="59" t="e">
        <f t="shared" si="102"/>
        <v>#N/A</v>
      </c>
      <c r="I407" s="49"/>
      <c r="U407" s="2"/>
      <c r="V407" s="2"/>
      <c r="W407" s="2"/>
      <c r="X407" s="2"/>
      <c r="Y407" s="2"/>
      <c r="Z407" s="2"/>
      <c r="AA407" s="2"/>
      <c r="AB407" s="2"/>
      <c r="AE407" s="2"/>
      <c r="AF407" s="2"/>
      <c r="AG407" s="2"/>
      <c r="AH407" s="2"/>
      <c r="AI407" s="2"/>
      <c r="AJ407" s="2"/>
      <c r="AK407" s="2"/>
      <c r="AL407" s="2"/>
    </row>
    <row r="408" spans="1:39">
      <c r="A408" s="41" t="s">
        <v>249</v>
      </c>
      <c r="B408" s="32">
        <v>2</v>
      </c>
      <c r="C408" s="60">
        <v>10</v>
      </c>
      <c r="D408" s="60">
        <v>23900</v>
      </c>
      <c r="E408" s="59" t="e">
        <f>(0.033+0)*$B$411*C408^-0.3</f>
        <v>#N/A</v>
      </c>
      <c r="F408" s="60">
        <v>54</v>
      </c>
      <c r="G408" s="59" t="e">
        <f>(0.52*SQRT(C408)*50^0.9*$B$411^0.8)/1200</f>
        <v>#N/A</v>
      </c>
      <c r="H408" s="59" t="e">
        <f t="shared" si="102"/>
        <v>#N/A</v>
      </c>
      <c r="I408" s="49"/>
      <c r="U408" s="155"/>
      <c r="V408" s="2"/>
      <c r="W408" s="2"/>
      <c r="X408" s="2"/>
      <c r="Y408" s="155"/>
      <c r="Z408" s="2"/>
      <c r="AA408" s="2"/>
      <c r="AB408" s="2"/>
      <c r="AE408" s="155"/>
      <c r="AF408" s="2"/>
      <c r="AG408" s="2"/>
      <c r="AH408" s="2"/>
      <c r="AI408" s="2"/>
      <c r="AJ408" s="2"/>
      <c r="AK408" s="2"/>
      <c r="AL408" s="2"/>
    </row>
    <row r="409" spans="1:39">
      <c r="B409" s="108"/>
      <c r="C409" s="109"/>
      <c r="D409" s="109"/>
      <c r="E409" s="110"/>
      <c r="F409" s="109"/>
      <c r="G409" s="110"/>
      <c r="H409" s="110"/>
      <c r="I409" s="49"/>
      <c r="U409" s="2"/>
      <c r="V409" s="2"/>
      <c r="W409" s="2"/>
      <c r="X409" s="2"/>
      <c r="Y409" s="155"/>
      <c r="Z409" s="2"/>
      <c r="AA409" s="2"/>
      <c r="AB409" s="2"/>
      <c r="AE409" s="2"/>
      <c r="AF409" s="2"/>
      <c r="AG409" s="2"/>
      <c r="AH409" s="2"/>
      <c r="AI409" s="2"/>
      <c r="AJ409" s="2"/>
      <c r="AK409" s="2"/>
      <c r="AL409" s="2"/>
    </row>
    <row r="410" spans="1:39">
      <c r="A410" s="19" t="s">
        <v>35</v>
      </c>
      <c r="B410" s="20" t="s">
        <v>22</v>
      </c>
      <c r="U410" s="2"/>
      <c r="V410" s="2"/>
      <c r="W410" s="2"/>
      <c r="X410" s="2"/>
      <c r="Y410" s="2"/>
      <c r="Z410" s="2"/>
      <c r="AA410" s="2"/>
      <c r="AB410" s="2"/>
      <c r="AE410" s="2"/>
      <c r="AF410" s="2"/>
      <c r="AG410" s="2"/>
      <c r="AH410" s="2"/>
      <c r="AI410" s="2"/>
      <c r="AJ410" s="2"/>
      <c r="AK410" s="2"/>
      <c r="AL410" s="2"/>
    </row>
    <row r="411" spans="1:39" ht="18">
      <c r="A411" s="21" t="s">
        <v>37</v>
      </c>
      <c r="B411" t="e">
        <f>VLOOKUP(B410,$V$6:$W$11,2,FALSE)</f>
        <v>#N/A</v>
      </c>
      <c r="C411" t="s">
        <v>38</v>
      </c>
      <c r="U411" s="2"/>
      <c r="V411" s="2"/>
      <c r="W411" s="155"/>
      <c r="X411" s="2"/>
      <c r="Y411" s="2"/>
      <c r="Z411" s="2"/>
      <c r="AA411" s="2"/>
      <c r="AB411" s="2"/>
      <c r="AE411" s="2"/>
      <c r="AF411" s="2"/>
      <c r="AG411" s="2"/>
      <c r="AH411" s="2"/>
      <c r="AI411" s="2"/>
      <c r="AJ411" s="2"/>
      <c r="AK411" s="2"/>
      <c r="AL411" s="2"/>
    </row>
    <row r="412" spans="1:39">
      <c r="A412" s="21"/>
    </row>
    <row r="413" spans="1:39">
      <c r="A413" s="21"/>
      <c r="B413" s="71"/>
      <c r="E413" t="s">
        <v>69</v>
      </c>
    </row>
    <row r="414" spans="1:39" ht="18">
      <c r="A414" s="3" t="s">
        <v>2</v>
      </c>
      <c r="B414" s="72" t="s">
        <v>117</v>
      </c>
      <c r="C414" s="72" t="s">
        <v>160</v>
      </c>
      <c r="D414" s="72" t="s">
        <v>254</v>
      </c>
      <c r="E414" s="73" t="s">
        <v>161</v>
      </c>
      <c r="F414" s="73" t="s">
        <v>255</v>
      </c>
      <c r="G414" s="717" t="s">
        <v>256</v>
      </c>
      <c r="P414"/>
      <c r="Q414"/>
      <c r="R414"/>
      <c r="S414"/>
      <c r="U414" s="155"/>
      <c r="V414" s="2"/>
      <c r="W414" s="2"/>
      <c r="X414" s="2"/>
      <c r="Y414" s="2"/>
      <c r="Z414" s="2"/>
      <c r="AA414" s="2"/>
      <c r="AB414" s="2"/>
      <c r="AC414" s="2"/>
      <c r="AE414" s="2"/>
      <c r="AF414" s="2"/>
      <c r="AG414" s="2"/>
      <c r="AH414" s="2"/>
      <c r="AI414" s="2"/>
      <c r="AJ414" s="2"/>
      <c r="AK414" s="2"/>
      <c r="AL414" s="2"/>
      <c r="AM414" s="2"/>
    </row>
    <row r="415" spans="1:39">
      <c r="A415" s="7"/>
      <c r="B415" s="75" t="s">
        <v>17</v>
      </c>
      <c r="C415" s="76" t="s">
        <v>17</v>
      </c>
      <c r="D415" s="76" t="s">
        <v>17</v>
      </c>
      <c r="E415" s="77" t="s">
        <v>17</v>
      </c>
      <c r="F415" s="77" t="s">
        <v>258</v>
      </c>
      <c r="G415" s="717"/>
      <c r="I415" s="2"/>
      <c r="J415" s="2"/>
      <c r="K415" s="2"/>
      <c r="L415" s="2"/>
      <c r="M415" s="2"/>
      <c r="N415" s="2"/>
      <c r="O415" s="2"/>
      <c r="T415" s="2"/>
      <c r="U415" s="2"/>
      <c r="V415" s="155"/>
      <c r="W415" s="2"/>
      <c r="X415" s="2"/>
      <c r="Y415" s="2"/>
      <c r="Z415" s="2"/>
      <c r="AA415" s="2"/>
      <c r="AB415" s="2"/>
      <c r="AE415" s="2"/>
      <c r="AF415" s="155"/>
      <c r="AG415" s="2"/>
      <c r="AH415" s="2"/>
      <c r="AI415" s="2"/>
      <c r="AJ415" s="2"/>
      <c r="AK415" s="2"/>
      <c r="AL415" s="2"/>
    </row>
    <row r="416" spans="1:39">
      <c r="A416" s="41" t="s">
        <v>238</v>
      </c>
      <c r="B416" s="15" t="e">
        <f t="shared" ref="B416:B425" si="103">F388</f>
        <v>#N/A</v>
      </c>
      <c r="C416" s="15">
        <v>17</v>
      </c>
      <c r="D416" s="15" t="e">
        <f>H401</f>
        <v>#N/A</v>
      </c>
      <c r="E416" s="176" t="e">
        <f t="shared" ref="E416:E425" si="104">MIN(B416,C416,D416)</f>
        <v>#N/A</v>
      </c>
      <c r="F416" s="177" t="e">
        <f t="shared" ref="F416:F425" si="105">E416*0.9/1.3</f>
        <v>#N/A</v>
      </c>
      <c r="I416" s="18"/>
      <c r="J416" s="18"/>
      <c r="K416" s="18"/>
      <c r="L416" s="18"/>
      <c r="M416" s="241"/>
      <c r="N416" s="241"/>
      <c r="O416" s="241"/>
      <c r="P416" s="241"/>
      <c r="Q416" s="105"/>
      <c r="R416" s="105"/>
      <c r="S416" s="105"/>
      <c r="T416" s="105"/>
      <c r="U416" s="2"/>
      <c r="V416" s="2"/>
      <c r="W416" s="2"/>
      <c r="X416" s="2"/>
      <c r="Y416" s="2"/>
      <c r="Z416" s="2"/>
      <c r="AA416" s="2"/>
      <c r="AB416" s="2"/>
      <c r="AE416" s="2"/>
      <c r="AF416" s="2"/>
      <c r="AG416" s="2"/>
      <c r="AH416" s="2"/>
      <c r="AI416" s="2"/>
      <c r="AJ416" s="2"/>
      <c r="AK416" s="2"/>
      <c r="AL416" s="2"/>
    </row>
    <row r="417" spans="1:39">
      <c r="A417" s="41" t="s">
        <v>240</v>
      </c>
      <c r="B417" s="15" t="e">
        <f t="shared" si="103"/>
        <v>#N/A</v>
      </c>
      <c r="C417" s="15">
        <v>17</v>
      </c>
      <c r="D417" s="15" t="e">
        <f t="shared" ref="D417:D422" si="106">H401</f>
        <v>#N/A</v>
      </c>
      <c r="E417" s="176" t="e">
        <f t="shared" si="104"/>
        <v>#N/A</v>
      </c>
      <c r="F417" s="177" t="e">
        <f t="shared" si="105"/>
        <v>#N/A</v>
      </c>
      <c r="G417" s="35" t="e">
        <f>F417/F416</f>
        <v>#N/A</v>
      </c>
      <c r="I417" s="18"/>
      <c r="J417" s="18"/>
      <c r="K417" s="18"/>
      <c r="L417" s="18"/>
      <c r="M417" s="241"/>
      <c r="N417" s="241"/>
      <c r="O417" s="241"/>
      <c r="P417" s="241"/>
      <c r="Q417" s="105"/>
      <c r="R417" s="105"/>
      <c r="S417" s="105"/>
      <c r="T417" s="105"/>
      <c r="U417" s="2"/>
      <c r="V417" s="2"/>
      <c r="W417" s="2"/>
      <c r="X417" s="2"/>
      <c r="Y417" s="2"/>
      <c r="Z417" s="2"/>
      <c r="AA417" s="2"/>
      <c r="AB417" s="2"/>
      <c r="AE417" s="2"/>
      <c r="AF417" s="2"/>
      <c r="AG417" s="2"/>
      <c r="AH417" s="2"/>
      <c r="AI417" s="2"/>
      <c r="AJ417" s="2"/>
      <c r="AK417" s="2"/>
      <c r="AL417" s="2"/>
    </row>
    <row r="418" spans="1:39">
      <c r="A418" s="41" t="s">
        <v>242</v>
      </c>
      <c r="B418" s="15" t="e">
        <f t="shared" si="103"/>
        <v>#N/A</v>
      </c>
      <c r="C418" s="15">
        <v>17</v>
      </c>
      <c r="D418" s="15" t="e">
        <f t="shared" si="106"/>
        <v>#N/A</v>
      </c>
      <c r="E418" s="88" t="e">
        <f t="shared" si="104"/>
        <v>#N/A</v>
      </c>
      <c r="F418" s="177" t="e">
        <f t="shared" si="105"/>
        <v>#N/A</v>
      </c>
      <c r="I418" s="18"/>
      <c r="J418" s="18"/>
      <c r="K418" s="18"/>
      <c r="L418" s="18"/>
      <c r="M418" s="241"/>
      <c r="N418" s="241"/>
      <c r="O418" s="241"/>
      <c r="P418" s="241"/>
      <c r="U418" s="155"/>
      <c r="V418" s="2"/>
      <c r="W418" s="2"/>
      <c r="X418" s="2"/>
      <c r="Y418" s="2"/>
      <c r="Z418" s="2"/>
      <c r="AA418" s="2"/>
      <c r="AB418" s="2"/>
      <c r="AE418" s="155"/>
      <c r="AF418" s="2"/>
      <c r="AG418" s="2"/>
      <c r="AH418" s="2"/>
      <c r="AI418" s="2"/>
      <c r="AJ418" s="2"/>
      <c r="AK418" s="2"/>
      <c r="AL418" s="2"/>
    </row>
    <row r="419" spans="1:39" ht="15.75" thickBot="1">
      <c r="A419" s="182" t="s">
        <v>243</v>
      </c>
      <c r="B419" s="183" t="e">
        <f t="shared" si="103"/>
        <v>#N/A</v>
      </c>
      <c r="C419" s="183">
        <v>17</v>
      </c>
      <c r="D419" s="183" t="e">
        <f t="shared" si="106"/>
        <v>#N/A</v>
      </c>
      <c r="E419" s="184" t="e">
        <f t="shared" si="104"/>
        <v>#N/A</v>
      </c>
      <c r="F419" s="185" t="e">
        <f t="shared" si="105"/>
        <v>#N/A</v>
      </c>
      <c r="I419" s="18"/>
      <c r="J419" s="18"/>
      <c r="K419" s="18"/>
      <c r="L419" s="18"/>
      <c r="M419" s="241"/>
      <c r="N419" s="241"/>
      <c r="O419" s="241"/>
      <c r="P419" s="241"/>
      <c r="U419" s="2"/>
      <c r="V419" s="2"/>
      <c r="W419" s="2"/>
      <c r="X419" s="2"/>
      <c r="Y419" s="2"/>
      <c r="Z419" s="2"/>
      <c r="AA419" s="2"/>
      <c r="AB419" s="2"/>
      <c r="AE419" s="2"/>
      <c r="AF419" s="2"/>
      <c r="AG419" s="2"/>
      <c r="AH419" s="2"/>
      <c r="AI419" s="2"/>
      <c r="AJ419" s="2"/>
      <c r="AK419" s="2"/>
      <c r="AL419" s="2"/>
    </row>
    <row r="420" spans="1:39">
      <c r="A420" s="7" t="s">
        <v>244</v>
      </c>
      <c r="B420" s="186" t="e">
        <f t="shared" si="103"/>
        <v>#N/A</v>
      </c>
      <c r="C420" s="186">
        <v>17</v>
      </c>
      <c r="D420" s="186" t="e">
        <f t="shared" si="106"/>
        <v>#N/A</v>
      </c>
      <c r="E420" s="187" t="e">
        <f t="shared" si="104"/>
        <v>#N/A</v>
      </c>
      <c r="F420" s="188" t="e">
        <f t="shared" si="105"/>
        <v>#N/A</v>
      </c>
      <c r="I420" s="18"/>
      <c r="J420" s="18"/>
      <c r="K420" s="18"/>
      <c r="L420" s="18"/>
      <c r="M420" s="241"/>
      <c r="N420" s="241"/>
      <c r="O420" s="241"/>
      <c r="P420" s="241"/>
      <c r="U420" s="2"/>
      <c r="V420" s="2"/>
      <c r="W420" s="2"/>
      <c r="X420" s="2"/>
      <c r="Y420" s="2"/>
      <c r="Z420" s="2"/>
      <c r="AA420" s="2"/>
      <c r="AB420" s="2"/>
      <c r="AE420" s="2"/>
      <c r="AF420" s="2"/>
      <c r="AG420" s="2"/>
      <c r="AH420" s="2"/>
      <c r="AI420" s="2"/>
      <c r="AJ420" s="2"/>
      <c r="AK420" s="2"/>
      <c r="AL420" s="2"/>
    </row>
    <row r="421" spans="1:39">
      <c r="A421" s="7" t="s">
        <v>244</v>
      </c>
      <c r="B421" s="186" t="e">
        <f t="shared" si="103"/>
        <v>#N/A</v>
      </c>
      <c r="C421" s="186">
        <v>18</v>
      </c>
      <c r="D421" s="186" t="e">
        <f t="shared" si="106"/>
        <v>#N/A</v>
      </c>
      <c r="E421" s="189" t="e">
        <f t="shared" si="104"/>
        <v>#N/A</v>
      </c>
      <c r="F421" s="188" t="e">
        <f t="shared" si="105"/>
        <v>#N/A</v>
      </c>
      <c r="G421" s="35" t="e">
        <f>F422/F420</f>
        <v>#N/A</v>
      </c>
      <c r="I421" s="18"/>
      <c r="J421" s="18"/>
      <c r="K421" s="18"/>
      <c r="L421" s="18"/>
      <c r="M421" s="241"/>
      <c r="N421" s="241"/>
      <c r="O421" s="241"/>
      <c r="P421" s="241"/>
      <c r="U421" s="2"/>
      <c r="V421" s="2"/>
      <c r="W421" s="2"/>
      <c r="X421" s="2"/>
      <c r="Y421" s="2"/>
      <c r="Z421" s="2"/>
      <c r="AA421" s="2"/>
      <c r="AB421" s="2"/>
      <c r="AE421" s="2"/>
      <c r="AF421" s="2"/>
      <c r="AG421" s="2"/>
      <c r="AH421" s="2"/>
      <c r="AI421" s="2"/>
      <c r="AJ421" s="2"/>
      <c r="AK421" s="2"/>
      <c r="AL421" s="2"/>
    </row>
    <row r="422" spans="1:39">
      <c r="A422" s="7" t="s">
        <v>246</v>
      </c>
      <c r="B422" s="186" t="e">
        <f t="shared" si="103"/>
        <v>#N/A</v>
      </c>
      <c r="C422" s="186">
        <v>17</v>
      </c>
      <c r="D422" s="186" t="e">
        <f t="shared" si="106"/>
        <v>#N/A</v>
      </c>
      <c r="E422" s="189" t="e">
        <f t="shared" si="104"/>
        <v>#N/A</v>
      </c>
      <c r="F422" s="188" t="e">
        <f t="shared" si="105"/>
        <v>#N/A</v>
      </c>
      <c r="G422" s="35" t="e">
        <f>E423/E420</f>
        <v>#N/A</v>
      </c>
      <c r="P422"/>
      <c r="V422" s="2"/>
      <c r="W422" s="2"/>
      <c r="X422" s="2"/>
      <c r="Y422" s="2"/>
      <c r="Z422" s="2"/>
      <c r="AA422" s="2"/>
      <c r="AB422" s="2"/>
      <c r="AF422" s="2"/>
      <c r="AG422" s="2"/>
      <c r="AK422" s="2"/>
    </row>
    <row r="423" spans="1:39">
      <c r="A423" s="7" t="s">
        <v>247</v>
      </c>
      <c r="B423" s="186" t="e">
        <f t="shared" si="103"/>
        <v>#N/A</v>
      </c>
      <c r="C423" s="186">
        <v>17</v>
      </c>
      <c r="D423" s="186" t="e">
        <f>H404</f>
        <v>#N/A</v>
      </c>
      <c r="E423" s="189" t="e">
        <f t="shared" si="104"/>
        <v>#N/A</v>
      </c>
      <c r="F423" s="188" t="e">
        <f t="shared" si="105"/>
        <v>#N/A</v>
      </c>
      <c r="I423" s="18"/>
      <c r="J423" s="18"/>
      <c r="K423" s="18"/>
      <c r="L423" s="18"/>
      <c r="M423" s="241"/>
      <c r="N423" s="241"/>
      <c r="O423" s="241"/>
      <c r="P423" s="241"/>
      <c r="V423" s="2"/>
      <c r="W423" s="2"/>
      <c r="X423" s="2"/>
      <c r="Y423" s="2"/>
      <c r="Z423" s="2"/>
      <c r="AA423" s="2"/>
      <c r="AB423" s="2"/>
      <c r="AF423" s="2"/>
      <c r="AG423" s="2"/>
      <c r="AK423" s="2"/>
    </row>
    <row r="424" spans="1:39">
      <c r="A424" s="41" t="s">
        <v>248</v>
      </c>
      <c r="B424" s="15" t="e">
        <f t="shared" si="103"/>
        <v>#N/A</v>
      </c>
      <c r="C424" s="15">
        <v>17</v>
      </c>
      <c r="D424" s="15" t="e">
        <f>H407</f>
        <v>#N/A</v>
      </c>
      <c r="E424" s="176" t="e">
        <f t="shared" si="104"/>
        <v>#N/A</v>
      </c>
      <c r="F424" s="177" t="e">
        <f t="shared" si="105"/>
        <v>#N/A</v>
      </c>
      <c r="I424" s="18"/>
      <c r="J424" s="18"/>
      <c r="K424" s="18"/>
      <c r="L424" s="18"/>
      <c r="M424" s="241"/>
      <c r="N424" s="241"/>
      <c r="O424" s="241"/>
      <c r="P424" s="241"/>
      <c r="V424" s="2"/>
      <c r="W424" s="2"/>
      <c r="X424" s="2"/>
      <c r="Y424" s="2"/>
      <c r="Z424" s="155"/>
      <c r="AA424" s="2"/>
      <c r="AB424" s="155"/>
      <c r="AF424" s="2"/>
      <c r="AG424" s="2"/>
      <c r="AK424" s="2"/>
    </row>
    <row r="425" spans="1:39">
      <c r="A425" s="41" t="s">
        <v>249</v>
      </c>
      <c r="B425" s="15" t="e">
        <f t="shared" si="103"/>
        <v>#N/A</v>
      </c>
      <c r="C425" s="15">
        <v>17</v>
      </c>
      <c r="D425" s="15" t="e">
        <f>H408</f>
        <v>#N/A</v>
      </c>
      <c r="E425" s="176" t="e">
        <f t="shared" si="104"/>
        <v>#N/A</v>
      </c>
      <c r="F425" s="177" t="e">
        <f t="shared" si="105"/>
        <v>#N/A</v>
      </c>
      <c r="I425" s="18"/>
      <c r="J425" s="18"/>
      <c r="K425" s="18"/>
      <c r="L425" s="18"/>
      <c r="M425" s="241"/>
      <c r="N425" s="241"/>
      <c r="O425" s="241"/>
      <c r="P425" s="241"/>
    </row>
    <row r="426" spans="1:39">
      <c r="A426" s="41" t="s">
        <v>262</v>
      </c>
      <c r="B426" s="151" t="e">
        <f>F392</f>
        <v>#N/A</v>
      </c>
      <c r="C426" s="15">
        <v>8</v>
      </c>
      <c r="D426" s="15" t="e">
        <f>H404</f>
        <v>#N/A</v>
      </c>
      <c r="E426" s="41"/>
      <c r="F426" s="41"/>
      <c r="I426" s="18"/>
      <c r="J426" s="18"/>
      <c r="K426" s="18"/>
      <c r="L426" s="18"/>
      <c r="M426" s="241"/>
      <c r="N426" s="241"/>
      <c r="O426" s="241"/>
      <c r="P426" s="241"/>
      <c r="U426" s="155"/>
      <c r="V426" s="2"/>
      <c r="W426" s="2"/>
      <c r="X426" s="2"/>
      <c r="Y426" s="2"/>
      <c r="Z426" s="2"/>
      <c r="AA426" s="2"/>
      <c r="AB426" s="2"/>
      <c r="AC426" s="2"/>
      <c r="AE426" s="2"/>
      <c r="AF426" s="2"/>
      <c r="AG426" s="2"/>
      <c r="AH426" s="2"/>
      <c r="AI426" s="2"/>
      <c r="AJ426" s="2"/>
      <c r="AK426" s="2"/>
      <c r="AL426" s="2"/>
      <c r="AM426" s="2"/>
    </row>
    <row r="427" spans="1:39">
      <c r="I427" s="18"/>
      <c r="J427" s="18"/>
      <c r="K427" s="18"/>
      <c r="L427" s="18"/>
      <c r="M427" s="241"/>
      <c r="N427" s="241"/>
      <c r="O427" s="241"/>
      <c r="P427" s="241"/>
      <c r="U427" s="2"/>
      <c r="V427" s="155"/>
      <c r="W427" s="2"/>
      <c r="X427" s="2"/>
      <c r="Y427" s="2"/>
      <c r="Z427" s="2"/>
      <c r="AA427" s="2"/>
      <c r="AB427" s="2"/>
      <c r="AE427" s="2"/>
      <c r="AF427" s="155"/>
      <c r="AG427" s="2"/>
      <c r="AH427" s="2"/>
      <c r="AI427" s="2"/>
      <c r="AJ427" s="2"/>
      <c r="AK427" s="2"/>
      <c r="AL427" s="2"/>
    </row>
    <row r="428" spans="1:39">
      <c r="I428" s="18"/>
      <c r="J428" s="18"/>
      <c r="K428" s="18"/>
      <c r="L428" s="18"/>
      <c r="M428" s="241"/>
      <c r="N428" s="241"/>
      <c r="O428" s="241"/>
      <c r="P428" s="241"/>
      <c r="U428" s="2"/>
      <c r="V428" s="2"/>
      <c r="W428" s="2"/>
      <c r="X428" s="2"/>
      <c r="Y428" s="2"/>
      <c r="Z428" s="2"/>
      <c r="AA428" s="2"/>
      <c r="AB428" s="2"/>
      <c r="AE428" s="2"/>
      <c r="AF428" s="2"/>
      <c r="AG428" s="2"/>
      <c r="AH428" s="2"/>
      <c r="AI428" s="2"/>
      <c r="AJ428" s="2"/>
      <c r="AK428" s="2"/>
      <c r="AL428" s="2"/>
    </row>
    <row r="429" spans="1:39">
      <c r="P429"/>
      <c r="U429" s="2"/>
      <c r="V429" s="2"/>
      <c r="W429" s="2"/>
      <c r="X429" s="2"/>
      <c r="Y429" s="2"/>
      <c r="Z429" s="2"/>
      <c r="AA429" s="2"/>
      <c r="AB429" s="2"/>
      <c r="AE429" s="2"/>
      <c r="AF429" s="2"/>
      <c r="AG429" s="2"/>
      <c r="AH429" s="2"/>
      <c r="AI429" s="2"/>
      <c r="AJ429" s="2"/>
      <c r="AK429" s="2"/>
      <c r="AL429" s="2"/>
    </row>
    <row r="430" spans="1:39">
      <c r="I430" s="18"/>
      <c r="J430" s="18"/>
      <c r="K430" s="18"/>
      <c r="L430" s="18"/>
      <c r="M430" s="241"/>
      <c r="N430" s="241"/>
      <c r="O430" s="241"/>
      <c r="P430" s="241"/>
      <c r="U430" s="155"/>
      <c r="V430" s="2"/>
      <c r="W430" s="2"/>
      <c r="X430" s="2"/>
      <c r="Y430" s="155"/>
      <c r="Z430" s="2"/>
      <c r="AA430" s="2"/>
      <c r="AB430" s="2"/>
      <c r="AE430" s="155"/>
      <c r="AF430" s="2"/>
      <c r="AG430" s="2"/>
      <c r="AH430" s="2"/>
      <c r="AI430" s="2"/>
      <c r="AJ430" s="2"/>
      <c r="AK430" s="2"/>
      <c r="AL430" s="2"/>
    </row>
    <row r="431" spans="1:39">
      <c r="I431" s="18"/>
      <c r="J431" s="18"/>
      <c r="K431" s="18"/>
      <c r="L431" s="18"/>
      <c r="M431" s="241"/>
      <c r="N431" s="241"/>
      <c r="O431" s="241"/>
      <c r="P431" s="241"/>
      <c r="U431" s="2"/>
      <c r="V431" s="2"/>
      <c r="W431" s="2"/>
      <c r="X431" s="2"/>
      <c r="Y431" s="2"/>
      <c r="Z431" s="2"/>
      <c r="AA431" s="2"/>
      <c r="AB431" s="2"/>
      <c r="AE431" s="2"/>
      <c r="AF431" s="2"/>
      <c r="AG431" s="2"/>
      <c r="AH431" s="2"/>
      <c r="AI431" s="2"/>
      <c r="AJ431" s="2"/>
      <c r="AK431" s="2"/>
      <c r="AL431" s="2"/>
    </row>
    <row r="432" spans="1:39">
      <c r="I432" s="18"/>
      <c r="J432" s="18"/>
      <c r="K432" s="18"/>
      <c r="L432" s="18"/>
      <c r="M432" s="241"/>
      <c r="N432" s="241"/>
      <c r="O432" s="241"/>
      <c r="P432" s="241"/>
      <c r="U432" s="2"/>
      <c r="V432" s="2"/>
      <c r="W432" s="2"/>
      <c r="X432" s="2"/>
      <c r="Y432" s="2"/>
      <c r="Z432" s="155"/>
      <c r="AA432" s="2"/>
      <c r="AB432" s="2"/>
      <c r="AE432" s="2"/>
      <c r="AF432" s="2"/>
      <c r="AG432" s="2"/>
      <c r="AH432" s="2"/>
      <c r="AI432" s="2"/>
      <c r="AJ432" s="2"/>
      <c r="AK432" s="2"/>
      <c r="AL432" s="2"/>
    </row>
    <row r="433" spans="9:39">
      <c r="I433" s="18"/>
      <c r="J433" s="18"/>
      <c r="K433" s="18"/>
      <c r="L433" s="18"/>
      <c r="M433" s="241"/>
      <c r="N433" s="241"/>
      <c r="O433" s="241"/>
      <c r="P433" s="241"/>
      <c r="U433" s="2"/>
      <c r="V433" s="2"/>
      <c r="W433" s="2"/>
      <c r="X433" s="2"/>
      <c r="Y433" s="2"/>
      <c r="Z433" s="2"/>
      <c r="AA433" s="2"/>
      <c r="AB433" s="2"/>
      <c r="AE433" s="2"/>
      <c r="AF433" s="2"/>
      <c r="AG433" s="2"/>
      <c r="AH433" s="2"/>
      <c r="AI433" s="2"/>
      <c r="AJ433" s="2"/>
      <c r="AK433" s="2"/>
      <c r="AL433" s="2"/>
    </row>
    <row r="434" spans="9:39">
      <c r="I434" s="18"/>
      <c r="J434" s="18"/>
      <c r="K434" s="18"/>
      <c r="L434" s="18"/>
      <c r="M434" s="241"/>
      <c r="N434" s="241"/>
      <c r="O434" s="241"/>
      <c r="P434" s="241"/>
      <c r="V434" s="2"/>
      <c r="W434" s="190"/>
      <c r="X434" s="190"/>
      <c r="Y434" s="190"/>
      <c r="Z434" s="190"/>
      <c r="AA434" s="190"/>
      <c r="AB434" s="190"/>
      <c r="AF434" s="2"/>
      <c r="AG434" s="2"/>
      <c r="AK434" s="2"/>
    </row>
    <row r="435" spans="9:39">
      <c r="I435" s="18"/>
      <c r="J435" s="18"/>
      <c r="K435" s="18"/>
      <c r="L435" s="18"/>
      <c r="M435" s="241"/>
      <c r="N435" s="241"/>
      <c r="O435" s="241"/>
      <c r="P435" s="241"/>
      <c r="V435" s="2"/>
      <c r="W435" s="190"/>
      <c r="X435" s="190"/>
      <c r="Y435" s="190"/>
      <c r="Z435" s="190"/>
      <c r="AA435" s="190"/>
      <c r="AB435" s="190"/>
      <c r="AF435" s="2"/>
      <c r="AG435" s="2"/>
      <c r="AK435" s="2"/>
    </row>
    <row r="436" spans="9:39">
      <c r="P436"/>
      <c r="V436" s="2"/>
      <c r="W436" s="190"/>
      <c r="X436" s="190"/>
      <c r="Y436" s="190"/>
      <c r="Z436" s="190"/>
      <c r="AA436" s="190"/>
      <c r="AB436" s="190"/>
      <c r="AF436" s="2"/>
      <c r="AG436" s="2"/>
      <c r="AK436" s="2"/>
    </row>
    <row r="437" spans="9:39">
      <c r="I437" s="18"/>
      <c r="J437" s="18"/>
      <c r="K437" s="18"/>
      <c r="L437" s="18"/>
      <c r="M437" s="241"/>
      <c r="N437" s="241"/>
      <c r="O437" s="241"/>
      <c r="P437" s="241"/>
    </row>
    <row r="438" spans="9:39">
      <c r="I438" s="18"/>
      <c r="J438" s="18"/>
      <c r="K438" s="18"/>
      <c r="L438" s="18"/>
      <c r="M438" s="241"/>
      <c r="N438" s="241"/>
      <c r="O438" s="241"/>
      <c r="P438" s="241"/>
      <c r="U438" s="155"/>
      <c r="V438" s="2"/>
      <c r="W438" s="2"/>
      <c r="X438" s="2"/>
      <c r="Y438" s="2"/>
      <c r="Z438" s="2"/>
      <c r="AA438" s="2"/>
      <c r="AB438" s="2"/>
      <c r="AC438" s="2"/>
      <c r="AE438" s="155"/>
      <c r="AF438" s="2"/>
      <c r="AG438" s="2"/>
      <c r="AH438" s="2"/>
      <c r="AI438" s="2"/>
      <c r="AJ438" s="2"/>
      <c r="AK438" s="2"/>
      <c r="AL438" s="2"/>
      <c r="AM438" s="2"/>
    </row>
    <row r="439" spans="9:39">
      <c r="I439" s="18"/>
      <c r="J439" s="18"/>
      <c r="K439" s="18"/>
      <c r="L439" s="18"/>
      <c r="M439" s="241"/>
      <c r="N439" s="241"/>
      <c r="O439" s="241"/>
      <c r="P439" s="241"/>
      <c r="U439" s="2"/>
      <c r="V439" s="155"/>
      <c r="W439" s="2"/>
      <c r="X439" s="155"/>
      <c r="Y439" s="2"/>
      <c r="Z439" s="2"/>
      <c r="AA439" s="2"/>
      <c r="AB439" s="2"/>
      <c r="AE439" s="2"/>
      <c r="AF439" s="155"/>
      <c r="AG439" s="2"/>
      <c r="AH439" s="155"/>
      <c r="AI439" s="2"/>
      <c r="AJ439" s="2"/>
      <c r="AK439" s="2"/>
      <c r="AL439" s="2"/>
    </row>
    <row r="440" spans="9:39">
      <c r="I440" s="18"/>
      <c r="J440" s="18"/>
      <c r="K440" s="18"/>
      <c r="L440" s="18"/>
      <c r="M440" s="241"/>
      <c r="N440" s="241"/>
      <c r="O440" s="241"/>
      <c r="P440" s="241"/>
      <c r="U440" s="155"/>
      <c r="V440" s="2"/>
      <c r="W440" s="2"/>
      <c r="X440" s="2"/>
      <c r="Y440" s="2"/>
      <c r="Z440" s="2"/>
      <c r="AA440" s="155"/>
      <c r="AB440" s="2"/>
      <c r="AE440" s="155"/>
      <c r="AF440" s="2"/>
      <c r="AG440" s="2"/>
      <c r="AH440" s="2"/>
      <c r="AI440" s="2"/>
      <c r="AJ440" s="2"/>
      <c r="AK440" s="155"/>
      <c r="AL440" s="2"/>
    </row>
    <row r="441" spans="9:39">
      <c r="I441" s="18"/>
      <c r="J441" s="18"/>
      <c r="K441" s="18"/>
      <c r="L441" s="18"/>
      <c r="M441" s="241"/>
      <c r="N441" s="241"/>
      <c r="O441" s="241"/>
      <c r="P441" s="241"/>
      <c r="U441" s="2"/>
      <c r="V441" s="2"/>
      <c r="W441" s="2"/>
      <c r="X441" s="2"/>
      <c r="Y441" s="2"/>
      <c r="Z441" s="2"/>
      <c r="AA441" s="155"/>
      <c r="AB441" s="2"/>
      <c r="AE441" s="2"/>
      <c r="AF441" s="2"/>
      <c r="AG441" s="2"/>
      <c r="AH441" s="2"/>
      <c r="AI441" s="2"/>
      <c r="AJ441" s="2"/>
      <c r="AK441" s="155"/>
      <c r="AL441" s="2"/>
    </row>
    <row r="442" spans="9:39">
      <c r="I442" s="18"/>
      <c r="J442" s="18"/>
      <c r="K442" s="18"/>
      <c r="L442" s="18"/>
      <c r="M442" s="241"/>
      <c r="N442" s="241"/>
      <c r="O442" s="241"/>
      <c r="P442" s="241"/>
      <c r="U442" s="155"/>
      <c r="V442" s="2"/>
      <c r="W442" s="2"/>
      <c r="X442" s="2"/>
      <c r="Y442" s="2"/>
      <c r="Z442" s="2"/>
      <c r="AA442" s="2"/>
      <c r="AB442" s="2"/>
      <c r="AE442" s="155"/>
      <c r="AF442" s="2"/>
      <c r="AG442" s="2"/>
      <c r="AH442" s="2"/>
      <c r="AI442" s="2"/>
      <c r="AJ442" s="2"/>
      <c r="AK442" s="2"/>
      <c r="AL442" s="2"/>
    </row>
    <row r="443" spans="9:39">
      <c r="U443" s="2"/>
      <c r="V443" s="2"/>
      <c r="W443" s="2"/>
      <c r="X443" s="2"/>
      <c r="Y443" s="2"/>
      <c r="Z443" s="2"/>
      <c r="AA443" s="2"/>
      <c r="AB443" s="155"/>
      <c r="AE443" s="2"/>
      <c r="AF443" s="2"/>
      <c r="AG443" s="2"/>
      <c r="AH443" s="2"/>
      <c r="AI443" s="2"/>
      <c r="AJ443" s="2"/>
      <c r="AK443" s="2"/>
      <c r="AL443" s="2"/>
    </row>
    <row r="444" spans="9:39">
      <c r="U444" s="2"/>
      <c r="V444" s="2"/>
      <c r="W444" s="2"/>
      <c r="X444" s="2"/>
      <c r="Y444" s="2"/>
      <c r="Z444" s="2"/>
      <c r="AA444" s="2"/>
      <c r="AB444" s="2"/>
      <c r="AE444" s="2"/>
      <c r="AF444" s="2"/>
      <c r="AG444" s="2"/>
      <c r="AH444" s="2"/>
      <c r="AI444" s="2"/>
      <c r="AJ444" s="2"/>
      <c r="AK444" s="2"/>
      <c r="AL444" s="2"/>
    </row>
    <row r="445" spans="9:39">
      <c r="U445" s="2"/>
      <c r="V445" s="2"/>
      <c r="W445" s="2"/>
      <c r="X445" s="2"/>
      <c r="Y445" s="2"/>
      <c r="Z445" s="2"/>
      <c r="AA445" s="2"/>
      <c r="AB445" s="2"/>
      <c r="AE445" s="2"/>
      <c r="AF445" s="2"/>
      <c r="AG445" s="2"/>
      <c r="AH445" s="2"/>
      <c r="AI445" s="2"/>
      <c r="AJ445" s="2"/>
      <c r="AK445" s="2"/>
      <c r="AL445" s="2"/>
    </row>
    <row r="446" spans="9:39">
      <c r="V446" s="2"/>
      <c r="W446" s="2"/>
      <c r="X446" s="2"/>
      <c r="Y446" s="2"/>
      <c r="Z446" s="2"/>
      <c r="AA446" s="2"/>
      <c r="AB446" s="2"/>
      <c r="AF446" s="2"/>
      <c r="AG446" s="2"/>
      <c r="AK446" s="2"/>
    </row>
    <row r="447" spans="9:39">
      <c r="P447"/>
      <c r="Q447"/>
      <c r="R447"/>
      <c r="S447"/>
      <c r="V447" s="2"/>
      <c r="W447" s="2"/>
      <c r="X447" s="2"/>
      <c r="Y447" s="2"/>
      <c r="Z447" s="2"/>
      <c r="AA447" s="2"/>
      <c r="AB447" s="2"/>
      <c r="AF447" s="2"/>
      <c r="AG447" s="2"/>
      <c r="AK447" s="2"/>
    </row>
    <row r="448" spans="9:39">
      <c r="P448"/>
      <c r="Q448"/>
      <c r="R448"/>
      <c r="S448"/>
      <c r="V448" s="2"/>
      <c r="W448" s="2"/>
      <c r="X448" s="155"/>
      <c r="Y448" s="2"/>
      <c r="Z448" s="2"/>
      <c r="AA448" s="2"/>
      <c r="AB448" s="2"/>
      <c r="AF448" s="2"/>
      <c r="AG448" s="2"/>
      <c r="AK448" s="2"/>
    </row>
    <row r="449" spans="16:39">
      <c r="P449"/>
      <c r="Q449"/>
      <c r="R449"/>
      <c r="S449"/>
    </row>
    <row r="450" spans="16:39">
      <c r="P450"/>
      <c r="Q450"/>
      <c r="R450"/>
      <c r="S450"/>
      <c r="U450" s="194"/>
      <c r="V450" s="2"/>
      <c r="W450" s="2"/>
      <c r="X450" s="2"/>
      <c r="Y450" s="2"/>
      <c r="Z450" s="2"/>
      <c r="AA450" s="2"/>
      <c r="AB450" s="2"/>
      <c r="AC450" s="2"/>
      <c r="AE450" s="2"/>
      <c r="AF450" s="2"/>
      <c r="AG450" s="2"/>
      <c r="AH450" s="2"/>
      <c r="AI450" s="2"/>
      <c r="AJ450" s="2"/>
      <c r="AK450" s="2"/>
      <c r="AL450" s="2"/>
      <c r="AM450" s="2"/>
    </row>
    <row r="451" spans="16:39">
      <c r="P451"/>
      <c r="Q451"/>
      <c r="R451"/>
      <c r="S451"/>
      <c r="U451" s="194"/>
      <c r="V451" s="155"/>
      <c r="W451" s="2"/>
      <c r="X451" s="2"/>
      <c r="Y451" s="2"/>
      <c r="Z451" s="2"/>
      <c r="AA451" s="2"/>
      <c r="AB451" s="2"/>
      <c r="AE451" s="2"/>
      <c r="AF451" s="155"/>
      <c r="AG451" s="2"/>
      <c r="AH451" s="2"/>
      <c r="AI451" s="2"/>
      <c r="AJ451" s="2"/>
      <c r="AK451" s="2"/>
      <c r="AL451" s="2"/>
    </row>
    <row r="452" spans="16:39">
      <c r="P452"/>
      <c r="Q452"/>
      <c r="R452"/>
      <c r="S452"/>
      <c r="U452" s="2"/>
      <c r="V452" s="2"/>
      <c r="W452" s="2"/>
      <c r="X452" s="2"/>
      <c r="Y452" s="2"/>
      <c r="Z452" s="2"/>
      <c r="AA452" s="2"/>
      <c r="AB452" s="2"/>
      <c r="AE452" s="2"/>
      <c r="AF452" s="2"/>
      <c r="AG452" s="2"/>
      <c r="AH452" s="2"/>
      <c r="AI452" s="2"/>
      <c r="AJ452" s="2"/>
      <c r="AK452" s="2"/>
      <c r="AL452" s="2"/>
    </row>
    <row r="453" spans="16:39">
      <c r="U453" s="2"/>
      <c r="V453" s="2"/>
      <c r="W453" s="2"/>
      <c r="X453" s="2"/>
      <c r="Y453" s="2"/>
      <c r="Z453" s="2"/>
      <c r="AA453" s="2"/>
      <c r="AB453" s="2"/>
      <c r="AE453" s="2"/>
      <c r="AF453" s="2"/>
      <c r="AG453" s="2"/>
      <c r="AH453" s="2"/>
      <c r="AI453" s="2"/>
      <c r="AJ453" s="2"/>
      <c r="AK453" s="2"/>
      <c r="AL453" s="2"/>
    </row>
    <row r="454" spans="16:39">
      <c r="P454"/>
      <c r="Q454"/>
      <c r="R454"/>
      <c r="S454"/>
      <c r="U454" s="155"/>
      <c r="V454" s="2"/>
      <c r="W454" s="2"/>
      <c r="X454" s="2"/>
      <c r="Y454" s="2"/>
      <c r="Z454" s="2"/>
      <c r="AA454" s="2"/>
      <c r="AB454" s="2"/>
      <c r="AE454" s="155"/>
      <c r="AF454" s="2"/>
      <c r="AG454" s="2"/>
      <c r="AH454" s="2"/>
      <c r="AI454" s="2"/>
      <c r="AJ454" s="2"/>
      <c r="AK454" s="2"/>
      <c r="AL454" s="2"/>
    </row>
    <row r="455" spans="16:39">
      <c r="P455"/>
      <c r="Q455"/>
      <c r="R455"/>
      <c r="S455"/>
      <c r="U455" s="2"/>
      <c r="V455" s="2"/>
      <c r="W455" s="2"/>
      <c r="X455" s="2"/>
      <c r="Y455" s="155"/>
      <c r="Z455" s="2"/>
      <c r="AA455" s="2"/>
      <c r="AB455" s="2"/>
      <c r="AE455" s="2"/>
      <c r="AF455" s="2"/>
      <c r="AG455" s="2"/>
      <c r="AH455" s="2"/>
      <c r="AI455" s="2"/>
      <c r="AJ455" s="2"/>
      <c r="AK455" s="2"/>
      <c r="AL455" s="2"/>
    </row>
    <row r="456" spans="16:39">
      <c r="P456"/>
      <c r="Q456"/>
      <c r="R456"/>
      <c r="S456"/>
      <c r="U456" s="2"/>
      <c r="V456" s="2"/>
      <c r="W456" s="2"/>
      <c r="X456" s="2"/>
      <c r="Y456" s="2"/>
      <c r="Z456" s="2"/>
      <c r="AA456" s="2"/>
      <c r="AB456" s="2"/>
      <c r="AE456" s="2"/>
      <c r="AF456" s="2"/>
      <c r="AG456" s="2"/>
      <c r="AH456" s="2"/>
      <c r="AI456" s="2"/>
      <c r="AJ456" s="2"/>
      <c r="AK456" s="2"/>
      <c r="AL456" s="2"/>
    </row>
    <row r="457" spans="16:39">
      <c r="P457"/>
      <c r="Q457"/>
      <c r="R457"/>
      <c r="S457"/>
      <c r="U457" s="2"/>
      <c r="V457" s="2"/>
      <c r="W457" s="2"/>
      <c r="X457" s="2"/>
      <c r="Y457" s="2"/>
      <c r="Z457" s="2"/>
      <c r="AA457" s="155"/>
      <c r="AB457" s="2"/>
      <c r="AE457" s="2"/>
      <c r="AF457" s="2"/>
      <c r="AG457" s="2"/>
      <c r="AH457" s="2"/>
      <c r="AI457" s="2"/>
      <c r="AJ457" s="2"/>
      <c r="AK457" s="2"/>
      <c r="AL457" s="2"/>
    </row>
    <row r="458" spans="16:39">
      <c r="P458"/>
      <c r="Q458"/>
      <c r="R458"/>
      <c r="S458"/>
      <c r="V458" s="2"/>
      <c r="W458" s="2"/>
      <c r="X458" s="2"/>
      <c r="Y458" s="2"/>
      <c r="Z458" s="155"/>
      <c r="AA458" s="2"/>
      <c r="AB458" s="2"/>
      <c r="AF458" s="2"/>
      <c r="AG458" s="2"/>
      <c r="AK458" s="2"/>
    </row>
    <row r="459" spans="16:39">
      <c r="P459"/>
      <c r="Q459"/>
      <c r="R459"/>
      <c r="S459"/>
      <c r="V459" s="2"/>
      <c r="W459" s="2"/>
      <c r="X459" s="155"/>
      <c r="Y459" s="2"/>
      <c r="Z459" s="2"/>
      <c r="AA459" s="155"/>
      <c r="AB459" s="2"/>
      <c r="AF459" s="2"/>
      <c r="AG459" s="2"/>
      <c r="AK459" s="2"/>
    </row>
    <row r="460" spans="16:39">
      <c r="P460"/>
      <c r="Q460"/>
      <c r="R460"/>
      <c r="S460"/>
      <c r="V460" s="2"/>
      <c r="W460" s="2"/>
      <c r="X460" s="2"/>
      <c r="Y460" s="2"/>
      <c r="Z460" s="2"/>
      <c r="AA460" s="2"/>
      <c r="AB460" s="2"/>
      <c r="AF460" s="2"/>
      <c r="AG460" s="2"/>
      <c r="AK460" s="2"/>
    </row>
    <row r="461" spans="16:39">
      <c r="P461"/>
      <c r="Q461"/>
      <c r="R461"/>
      <c r="S461"/>
    </row>
    <row r="462" spans="16:39">
      <c r="P462"/>
      <c r="Q462"/>
      <c r="R462"/>
      <c r="S462"/>
    </row>
    <row r="463" spans="16:39">
      <c r="P463"/>
      <c r="Q463"/>
      <c r="R463"/>
      <c r="S463"/>
    </row>
    <row r="464" spans="16:39">
      <c r="P464"/>
      <c r="Q464"/>
      <c r="R464"/>
      <c r="S464"/>
    </row>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sheetData>
  <sheetProtection algorithmName="SHA-512" hashValue="Chr/tr83I57BqmQgSHknRHgWSQkZw9vL2OdtvMv3UbPNaWo25OQzzWmnTiCEahg42RmafjR+yARik2VUoEit1A==" saltValue="pzQoV+6WG8NqGAwZ3ucQEA==" spinCount="100000" sheet="1" objects="1" scenarios="1" selectLockedCells="1"/>
  <customSheetViews>
    <customSheetView guid="{88029C9E-0AAA-4AEA-8FBA-3530118F01BF}" hiddenRows="1" topLeftCell="A124">
      <selection activeCell="H47" sqref="H47"/>
      <pageMargins left="0.7" right="0.7" top="0.78740157499999996" bottom="0.78740157499999996" header="0.3" footer="0.3"/>
      <pageSetup paperSize="9" orientation="portrait" r:id="rId1"/>
    </customSheetView>
  </customSheetViews>
  <mergeCells count="26">
    <mergeCell ref="B225:B241"/>
    <mergeCell ref="B290:C306"/>
    <mergeCell ref="J258:L268"/>
    <mergeCell ref="J182:L192"/>
    <mergeCell ref="J193:L203"/>
    <mergeCell ref="B214:B224"/>
    <mergeCell ref="J247:L257"/>
    <mergeCell ref="B279:C289"/>
    <mergeCell ref="J204:L207"/>
    <mergeCell ref="J269:L272"/>
    <mergeCell ref="A155:A157"/>
    <mergeCell ref="B157:C157"/>
    <mergeCell ref="D157:E157"/>
    <mergeCell ref="P3:T3"/>
    <mergeCell ref="P117:T117"/>
    <mergeCell ref="K309:O309"/>
    <mergeCell ref="K343:N343"/>
    <mergeCell ref="V305:W305"/>
    <mergeCell ref="G414:G415"/>
    <mergeCell ref="K344:N344"/>
    <mergeCell ref="K345:N345"/>
    <mergeCell ref="P345:Q345"/>
    <mergeCell ref="K362:N362"/>
    <mergeCell ref="K363:N363"/>
    <mergeCell ref="K364:N364"/>
    <mergeCell ref="P364:Q364"/>
  </mergeCells>
  <phoneticPr fontId="56" type="noConversion"/>
  <dataValidations disablePrompts="1" count="1">
    <dataValidation type="list" allowBlank="1" showInputMessage="1" showErrorMessage="1" sqref="B410" xr:uid="{00000000-0002-0000-0200-000000000000}">
      <formula1>$V$6:$V$11</formula1>
    </dataValidation>
  </dataValidations>
  <pageMargins left="0.7" right="0.7" top="0.78740157499999996" bottom="0.78740157499999996" header="0.3" footer="0.3"/>
  <pageSetup paperSize="9" orientation="portrait" r:id="rId2"/>
  <drawing r:id="rId3"/>
  <legacyDrawing r:id="rId4"/>
  <oleObjects>
    <mc:AlternateContent xmlns:mc="http://schemas.openxmlformats.org/markup-compatibility/2006">
      <mc:Choice Requires="x14">
        <oleObject progId="Equation.3" shapeId="4097" r:id="rId5">
          <objectPr defaultSize="0" autoPict="0" r:id="rId6">
            <anchor moveWithCells="1">
              <from>
                <xdr:col>7</xdr:col>
                <xdr:colOff>685800</xdr:colOff>
                <xdr:row>34</xdr:row>
                <xdr:rowOff>161925</xdr:rowOff>
              </from>
              <to>
                <xdr:col>11</xdr:col>
                <xdr:colOff>571500</xdr:colOff>
                <xdr:row>37</xdr:row>
                <xdr:rowOff>0</xdr:rowOff>
              </to>
            </anchor>
          </objectPr>
        </oleObject>
      </mc:Choice>
      <mc:Fallback>
        <oleObject progId="Equation.3" shapeId="4097" r:id="rId5"/>
      </mc:Fallback>
    </mc:AlternateContent>
    <mc:AlternateContent xmlns:mc="http://schemas.openxmlformats.org/markup-compatibility/2006">
      <mc:Choice Requires="x14">
        <oleObject progId="Equation.3" shapeId="4099" r:id="rId7">
          <objectPr defaultSize="0" autoPict="0" r:id="rId8">
            <anchor moveWithCells="1">
              <from>
                <xdr:col>4</xdr:col>
                <xdr:colOff>542925</xdr:colOff>
                <xdr:row>45</xdr:row>
                <xdr:rowOff>123825</xdr:rowOff>
              </from>
              <to>
                <xdr:col>6</xdr:col>
                <xdr:colOff>400050</xdr:colOff>
                <xdr:row>47</xdr:row>
                <xdr:rowOff>0</xdr:rowOff>
              </to>
            </anchor>
          </objectPr>
        </oleObject>
      </mc:Choice>
      <mc:Fallback>
        <oleObject progId="Equation.3" shapeId="4099" r:id="rId7"/>
      </mc:Fallback>
    </mc:AlternateContent>
    <mc:AlternateContent xmlns:mc="http://schemas.openxmlformats.org/markup-compatibility/2006">
      <mc:Choice Requires="x14">
        <oleObject progId="Equation.3" shapeId="4100" r:id="rId9">
          <objectPr defaultSize="0" autoPict="0" r:id="rId10">
            <anchor moveWithCells="1">
              <from>
                <xdr:col>4</xdr:col>
                <xdr:colOff>571500</xdr:colOff>
                <xdr:row>47</xdr:row>
                <xdr:rowOff>19050</xdr:rowOff>
              </from>
              <to>
                <xdr:col>6</xdr:col>
                <xdr:colOff>457200</xdr:colOff>
                <xdr:row>48</xdr:row>
                <xdr:rowOff>0</xdr:rowOff>
              </to>
            </anchor>
          </objectPr>
        </oleObject>
      </mc:Choice>
      <mc:Fallback>
        <oleObject progId="Equation.3" shapeId="4100" r:id="rId9"/>
      </mc:Fallback>
    </mc:AlternateContent>
    <mc:AlternateContent xmlns:mc="http://schemas.openxmlformats.org/markup-compatibility/2006">
      <mc:Choice Requires="x14">
        <oleObject progId="Equation.3" shapeId="4101" r:id="rId11">
          <objectPr defaultSize="0" autoPict="0" r:id="rId12">
            <anchor moveWithCells="1">
              <from>
                <xdr:col>7</xdr:col>
                <xdr:colOff>352425</xdr:colOff>
                <xdr:row>116</xdr:row>
                <xdr:rowOff>9525</xdr:rowOff>
              </from>
              <to>
                <xdr:col>12</xdr:col>
                <xdr:colOff>9525</xdr:colOff>
                <xdr:row>120</xdr:row>
                <xdr:rowOff>123825</xdr:rowOff>
              </to>
            </anchor>
          </objectPr>
        </oleObject>
      </mc:Choice>
      <mc:Fallback>
        <oleObject progId="Equation.3" shapeId="4101" r:id="rId11"/>
      </mc:Fallback>
    </mc:AlternateContent>
    <mc:AlternateContent xmlns:mc="http://schemas.openxmlformats.org/markup-compatibility/2006">
      <mc:Choice Requires="x14">
        <oleObject progId="Equation.3" shapeId="4102" r:id="rId13">
          <objectPr defaultSize="0" autoPict="0" r:id="rId8">
            <anchor moveWithCells="1">
              <from>
                <xdr:col>4</xdr:col>
                <xdr:colOff>542925</xdr:colOff>
                <xdr:row>173</xdr:row>
                <xdr:rowOff>123825</xdr:rowOff>
              </from>
              <to>
                <xdr:col>6</xdr:col>
                <xdr:colOff>400050</xdr:colOff>
                <xdr:row>175</xdr:row>
                <xdr:rowOff>0</xdr:rowOff>
              </to>
            </anchor>
          </objectPr>
        </oleObject>
      </mc:Choice>
      <mc:Fallback>
        <oleObject progId="Equation.3" shapeId="4102" r:id="rId13"/>
      </mc:Fallback>
    </mc:AlternateContent>
    <mc:AlternateContent xmlns:mc="http://schemas.openxmlformats.org/markup-compatibility/2006">
      <mc:Choice Requires="x14">
        <oleObject progId="Equation.3" shapeId="4103" r:id="rId14">
          <objectPr defaultSize="0" autoPict="0" r:id="rId10">
            <anchor moveWithCells="1">
              <from>
                <xdr:col>4</xdr:col>
                <xdr:colOff>571500</xdr:colOff>
                <xdr:row>175</xdr:row>
                <xdr:rowOff>19050</xdr:rowOff>
              </from>
              <to>
                <xdr:col>6</xdr:col>
                <xdr:colOff>457200</xdr:colOff>
                <xdr:row>176</xdr:row>
                <xdr:rowOff>0</xdr:rowOff>
              </to>
            </anchor>
          </objectPr>
        </oleObject>
      </mc:Choice>
      <mc:Fallback>
        <oleObject progId="Equation.3" shapeId="4103" r:id="rId14"/>
      </mc:Fallback>
    </mc:AlternateContent>
    <mc:AlternateContent xmlns:mc="http://schemas.openxmlformats.org/markup-compatibility/2006">
      <mc:Choice Requires="x14">
        <oleObject progId="Equation.3" shapeId="4105" r:id="rId15">
          <objectPr defaultSize="0" autoPict="0" r:id="rId8">
            <anchor moveWithCells="1">
              <from>
                <xdr:col>4</xdr:col>
                <xdr:colOff>542925</xdr:colOff>
                <xdr:row>45</xdr:row>
                <xdr:rowOff>123825</xdr:rowOff>
              </from>
              <to>
                <xdr:col>6</xdr:col>
                <xdr:colOff>400050</xdr:colOff>
                <xdr:row>47</xdr:row>
                <xdr:rowOff>0</xdr:rowOff>
              </to>
            </anchor>
          </objectPr>
        </oleObject>
      </mc:Choice>
      <mc:Fallback>
        <oleObject progId="Equation.3" shapeId="4105" r:id="rId15"/>
      </mc:Fallback>
    </mc:AlternateContent>
    <mc:AlternateContent xmlns:mc="http://schemas.openxmlformats.org/markup-compatibility/2006">
      <mc:Choice Requires="x14">
        <oleObject progId="Equation.3" shapeId="4106" r:id="rId16">
          <objectPr defaultSize="0" autoPict="0" r:id="rId10">
            <anchor moveWithCells="1">
              <from>
                <xdr:col>4</xdr:col>
                <xdr:colOff>571500</xdr:colOff>
                <xdr:row>47</xdr:row>
                <xdr:rowOff>19050</xdr:rowOff>
              </from>
              <to>
                <xdr:col>6</xdr:col>
                <xdr:colOff>457200</xdr:colOff>
                <xdr:row>48</xdr:row>
                <xdr:rowOff>0</xdr:rowOff>
              </to>
            </anchor>
          </objectPr>
        </oleObject>
      </mc:Choice>
      <mc:Fallback>
        <oleObject progId="Equation.3" shapeId="4106" r:id="rId16"/>
      </mc:Fallback>
    </mc:AlternateContent>
    <mc:AlternateContent xmlns:mc="http://schemas.openxmlformats.org/markup-compatibility/2006">
      <mc:Choice Requires="x14">
        <oleObject progId="Equation.3" shapeId="4107" r:id="rId17">
          <objectPr defaultSize="0" autoPict="0" r:id="rId8">
            <anchor moveWithCells="1">
              <from>
                <xdr:col>4</xdr:col>
                <xdr:colOff>542925</xdr:colOff>
                <xdr:row>173</xdr:row>
                <xdr:rowOff>123825</xdr:rowOff>
              </from>
              <to>
                <xdr:col>6</xdr:col>
                <xdr:colOff>400050</xdr:colOff>
                <xdr:row>175</xdr:row>
                <xdr:rowOff>0</xdr:rowOff>
              </to>
            </anchor>
          </objectPr>
        </oleObject>
      </mc:Choice>
      <mc:Fallback>
        <oleObject progId="Equation.3" shapeId="4107" r:id="rId17"/>
      </mc:Fallback>
    </mc:AlternateContent>
    <mc:AlternateContent xmlns:mc="http://schemas.openxmlformats.org/markup-compatibility/2006">
      <mc:Choice Requires="x14">
        <oleObject progId="Equation.3" shapeId="4108" r:id="rId18">
          <objectPr defaultSize="0" autoPict="0" r:id="rId10">
            <anchor moveWithCells="1">
              <from>
                <xdr:col>4</xdr:col>
                <xdr:colOff>571500</xdr:colOff>
                <xdr:row>175</xdr:row>
                <xdr:rowOff>19050</xdr:rowOff>
              </from>
              <to>
                <xdr:col>6</xdr:col>
                <xdr:colOff>457200</xdr:colOff>
                <xdr:row>176</xdr:row>
                <xdr:rowOff>0</xdr:rowOff>
              </to>
            </anchor>
          </objectPr>
        </oleObject>
      </mc:Choice>
      <mc:Fallback>
        <oleObject progId="Equation.3" shapeId="4108" r:id="rId1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01369-FFA4-4F72-BC5E-2A13CAD790DF}">
  <dimension ref="A1:K63"/>
  <sheetViews>
    <sheetView showGridLines="0" showRowColHeaders="0" tabSelected="1" zoomScaleNormal="100" workbookViewId="0">
      <selection activeCell="I47" sqref="I47:J47"/>
    </sheetView>
  </sheetViews>
  <sheetFormatPr baseColWidth="10" defaultRowHeight="15"/>
  <cols>
    <col min="2" max="2" width="19" customWidth="1"/>
    <col min="3" max="3" width="13" customWidth="1"/>
    <col min="5" max="6" width="16.140625" customWidth="1"/>
    <col min="7" max="7" width="11.5703125" bestFit="1" customWidth="1"/>
    <col min="8" max="8" width="12.85546875" bestFit="1" customWidth="1"/>
  </cols>
  <sheetData>
    <row r="1" spans="1:11" ht="24" customHeight="1">
      <c r="A1" s="758" t="str">
        <f>HLOOKUP(K6,'Deckblatt-Sprachen'!A1:C2,2,FALSE)</f>
        <v xml:space="preserve">Belastungstabelle von KNAPP® RICON®, RICON® S und GIGANT® nach ETA-10/0189 (Ausgabe 25/08/2022) </v>
      </c>
      <c r="B1" s="758"/>
      <c r="C1" s="758"/>
      <c r="D1" s="758"/>
      <c r="E1" s="758"/>
      <c r="F1" s="758"/>
      <c r="G1" s="758"/>
      <c r="H1" s="758"/>
      <c r="I1" s="758"/>
      <c r="J1" s="758"/>
      <c r="K1" s="758"/>
    </row>
    <row r="2" spans="1:11" ht="24" customHeight="1" thickBot="1">
      <c r="A2" s="759"/>
      <c r="B2" s="759"/>
      <c r="C2" s="759"/>
      <c r="D2" s="759"/>
      <c r="E2" s="759"/>
      <c r="F2" s="759"/>
      <c r="G2" s="759"/>
      <c r="H2" s="759"/>
      <c r="I2" s="759"/>
      <c r="J2" s="759"/>
      <c r="K2" s="759"/>
    </row>
    <row r="3" spans="1:11" ht="21">
      <c r="A3" s="344"/>
      <c r="B3" s="344"/>
      <c r="C3" s="344"/>
      <c r="D3" s="344"/>
      <c r="E3" s="344"/>
      <c r="F3" s="344"/>
      <c r="H3" s="760" t="s">
        <v>1375</v>
      </c>
      <c r="I3" s="760"/>
      <c r="J3" s="761">
        <v>44946</v>
      </c>
      <c r="K3" s="761"/>
    </row>
    <row r="4" spans="1:11" ht="23.25">
      <c r="A4" s="762" t="str">
        <f>HLOOKUP(K6,'Deckblatt-Sprachen'!A1:C3,3,FALSE)</f>
        <v>Belastungstabelle zur Auswahl der Haupt-Nebenträger-Verbinder</v>
      </c>
      <c r="B4" s="762"/>
      <c r="C4" s="762"/>
      <c r="D4" s="762"/>
      <c r="E4" s="762"/>
      <c r="F4" s="762"/>
      <c r="G4" s="762"/>
      <c r="H4" s="762"/>
      <c r="I4" s="762"/>
      <c r="J4" s="762"/>
      <c r="K4" s="762"/>
    </row>
    <row r="5" spans="1:11">
      <c r="K5" s="161" t="str">
        <f>IF(K6="DE","Language",IF(K6="EN","Language","Langue"))</f>
        <v>Language</v>
      </c>
    </row>
    <row r="6" spans="1:11">
      <c r="K6" s="488" t="s">
        <v>883</v>
      </c>
    </row>
    <row r="7" spans="1:11" ht="18.75">
      <c r="A7" s="339" t="str">
        <f>HLOOKUP(K6,'Deckblatt-Sprachen'!A1:C4,4,FALSE)</f>
        <v>Die Haupt-Nebenträger-Verbinder werden nach folgenden Kriterien ausgewählt:</v>
      </c>
      <c r="B7" s="339"/>
      <c r="C7" s="339"/>
    </row>
    <row r="8" spans="1:11" ht="18.75">
      <c r="A8" s="650" t="s">
        <v>1299</v>
      </c>
      <c r="B8" s="339" t="str">
        <f>HLOOKUP($K$6,'Deckblatt-Sprachen'!$A$1:C5,5,FALSE)</f>
        <v>Festigkeitsklasse</v>
      </c>
      <c r="C8" s="339"/>
    </row>
    <row r="9" spans="1:11" ht="18.75">
      <c r="A9" s="650" t="s">
        <v>1299</v>
      </c>
      <c r="B9" s="339" t="str">
        <f>HLOOKUP($K$6,'Deckblatt-Sprachen'!$A$1:C6,6,FALSE)</f>
        <v>Nutzungsklasse NKL</v>
      </c>
      <c r="C9" s="339"/>
    </row>
    <row r="10" spans="1:11" ht="18.75">
      <c r="A10" s="650" t="s">
        <v>1299</v>
      </c>
      <c r="B10" s="339" t="str">
        <f>HLOOKUP($K$6,'Deckblatt-Sprachen'!$A$1:C7,7,FALSE)</f>
        <v>Min. Nebenträgerabmessungen</v>
      </c>
      <c r="C10" s="339"/>
    </row>
    <row r="11" spans="1:11" ht="18.75">
      <c r="A11" s="650" t="s">
        <v>1299</v>
      </c>
      <c r="B11" s="339" t="str">
        <f>HLOOKUP($K$6,'Deckblatt-Sprachen'!$A$1:C8,8,FALSE)</f>
        <v>Klasse der Einwirkungsdauer (kmod)</v>
      </c>
      <c r="C11" s="339"/>
    </row>
    <row r="12" spans="1:11" ht="18.75">
      <c r="A12" s="650" t="s">
        <v>1299</v>
      </c>
      <c r="B12" s="339" t="str">
        <f>HLOOKUP($K$6,'Deckblatt-Sprachen'!$A$1:C9,9,FALSE)</f>
        <v>Belastbarkeit (charakteristische - Bemessungswerte)</v>
      </c>
      <c r="C12" s="339"/>
    </row>
    <row r="13" spans="1:11" ht="18.75">
      <c r="A13" s="650" t="s">
        <v>1299</v>
      </c>
      <c r="B13" s="339" t="str">
        <f>HLOOKUP($K$6,'Deckblatt-Sprachen'!$A$1:C10,10,FALSE)</f>
        <v>Kraftrichtungen:</v>
      </c>
      <c r="C13" s="339"/>
      <c r="D13" s="339" t="str">
        <f>HLOOKUP($K$6,'Deckblatt-Sprachen'!$A$1:C11,11,FALSE)</f>
        <v>F1: Mittige Zuglast</v>
      </c>
    </row>
    <row r="14" spans="1:11" ht="18.75">
      <c r="D14" s="339" t="str">
        <f>HLOOKUP($K$6,'Deckblatt-Sprachen'!$A$1:C12,12,FALSE)</f>
        <v>F2: Querkraft in Einschubrichtung</v>
      </c>
    </row>
    <row r="15" spans="1:11" ht="18.75">
      <c r="D15" s="339" t="str">
        <f>HLOOKUP($K$6,'Deckblatt-Sprachen'!$A$1:C13,13,FALSE)</f>
        <v>F3: Querkraft entgegen der Einschubrichtung</v>
      </c>
    </row>
    <row r="16" spans="1:11" ht="18.75">
      <c r="D16" s="339" t="str">
        <f>HLOOKUP($K$6,'Deckblatt-Sprachen'!$A$1:C14,14,FALSE)</f>
        <v>F45: Querkraft rechtwinklig zur Einschubrichtung</v>
      </c>
    </row>
    <row r="33" spans="1:11" ht="18.75" customHeight="1">
      <c r="A33" s="763" t="str">
        <f>HLOOKUP($K$6,'Deckblatt-Sprachen'!$A$1:C15,15,FALSE)</f>
        <v>Vorauswahl: Belastungsübersicht für F2 Kraftrichtung der KNAPP® Haupt-Nebenträger-Verbinder für die Holzsortierklasse GL24h:</v>
      </c>
      <c r="B33" s="763"/>
      <c r="C33" s="763"/>
      <c r="D33" s="763"/>
      <c r="E33" s="763"/>
      <c r="F33" s="763"/>
      <c r="G33" s="763"/>
      <c r="H33" s="763"/>
      <c r="I33" s="763"/>
      <c r="J33" s="763"/>
      <c r="K33" s="763"/>
    </row>
    <row r="34" spans="1:11" ht="18.75" customHeight="1">
      <c r="A34" s="763"/>
      <c r="B34" s="763"/>
      <c r="C34" s="763"/>
      <c r="D34" s="763"/>
      <c r="E34" s="763"/>
      <c r="F34" s="763"/>
      <c r="G34" s="763"/>
      <c r="H34" s="763"/>
      <c r="I34" s="763"/>
      <c r="J34" s="763"/>
      <c r="K34" s="763"/>
    </row>
    <row r="35" spans="1:11" ht="18.75" customHeight="1">
      <c r="A35" s="651"/>
      <c r="B35" s="651"/>
      <c r="C35" s="651"/>
      <c r="D35" s="651"/>
      <c r="E35" s="651"/>
      <c r="F35" s="651"/>
      <c r="G35" s="651"/>
      <c r="H35" s="651"/>
      <c r="I35" s="651"/>
      <c r="J35" s="651"/>
      <c r="K35" s="652"/>
    </row>
    <row r="36" spans="1:11" ht="18.75" customHeight="1">
      <c r="B36" s="764" t="str">
        <f>HLOOKUP($K$6,'Deckblatt-Sprachen'!$A$1:D16,16,FALSE)</f>
        <v>Min- und max Verbindergrößen</v>
      </c>
      <c r="C36" s="764"/>
      <c r="D36" s="764"/>
      <c r="E36" s="764" t="str">
        <f>HLOOKUP($K$6,'Deckblatt-Sprachen'!$A$1:C17,17,FALSE)</f>
        <v>Min. Nebenträgerabmessungen [mm]</v>
      </c>
      <c r="F36" s="764"/>
      <c r="G36" s="764" t="str">
        <f>HLOOKUP($K$6,'Deckblatt-Sprachen'!$A$1:$C$18,18,FALSE)</f>
        <v>Min. und max. charakteristischer F2,Rk [kN] Belastungswert</v>
      </c>
      <c r="H36" s="764"/>
      <c r="I36" s="764" t="str">
        <f>HLOOKUP($K$6,'Deckblatt-Sprachen'!$A$1:$C$19,19,FALSE)</f>
        <v>Auswahl Tabellenblatt</v>
      </c>
      <c r="J36" s="764"/>
    </row>
    <row r="37" spans="1:11" ht="36" customHeight="1">
      <c r="B37" s="764"/>
      <c r="C37" s="764"/>
      <c r="D37" s="764"/>
      <c r="E37" s="764"/>
      <c r="F37" s="764"/>
      <c r="G37" s="764"/>
      <c r="H37" s="764"/>
      <c r="I37" s="764"/>
      <c r="J37" s="764"/>
    </row>
    <row r="38" spans="1:11" ht="36" customHeight="1">
      <c r="B38" s="764"/>
      <c r="C38" s="764"/>
      <c r="D38" s="764"/>
      <c r="E38" s="764"/>
      <c r="F38" s="764"/>
      <c r="G38" s="764"/>
      <c r="H38" s="764"/>
      <c r="I38" s="764"/>
      <c r="J38" s="764"/>
    </row>
    <row r="39" spans="1:11" ht="18.75">
      <c r="A39" s="650"/>
      <c r="B39" s="653" t="s">
        <v>1316</v>
      </c>
      <c r="C39" s="653" t="s">
        <v>1317</v>
      </c>
      <c r="D39" s="653"/>
      <c r="E39" s="654" t="s">
        <v>1318</v>
      </c>
      <c r="F39" s="654" t="s">
        <v>1319</v>
      </c>
      <c r="G39" s="655">
        <v>5</v>
      </c>
      <c r="H39" s="655">
        <v>18.2</v>
      </c>
      <c r="I39" s="824" t="s">
        <v>1326</v>
      </c>
      <c r="J39" s="824"/>
    </row>
    <row r="40" spans="1:11" ht="18.75">
      <c r="A40" s="650"/>
      <c r="B40" s="653" t="s">
        <v>1327</v>
      </c>
      <c r="C40" s="653" t="s">
        <v>1328</v>
      </c>
      <c r="D40" s="653"/>
      <c r="E40" s="654" t="s">
        <v>949</v>
      </c>
      <c r="F40" s="654" t="s">
        <v>1319</v>
      </c>
      <c r="G40" s="656">
        <v>4</v>
      </c>
      <c r="H40" s="656">
        <v>17.399999999999999</v>
      </c>
      <c r="I40" s="824" t="s">
        <v>1326</v>
      </c>
      <c r="J40" s="824"/>
    </row>
    <row r="41" spans="1:11" ht="18.75">
      <c r="A41" s="650"/>
      <c r="B41" s="653" t="s">
        <v>1327</v>
      </c>
      <c r="C41" s="653" t="s">
        <v>1329</v>
      </c>
      <c r="D41" s="653"/>
      <c r="E41" s="654" t="s">
        <v>1318</v>
      </c>
      <c r="F41" s="654" t="s">
        <v>1319</v>
      </c>
      <c r="G41" s="656">
        <v>5.2</v>
      </c>
      <c r="H41" s="656">
        <v>17.399999999999999</v>
      </c>
      <c r="I41" s="824" t="s">
        <v>1326</v>
      </c>
      <c r="J41" s="824"/>
    </row>
    <row r="42" spans="1:11" ht="18.75">
      <c r="A42" s="650"/>
      <c r="B42" s="653" t="s">
        <v>1327</v>
      </c>
      <c r="C42" s="653" t="s">
        <v>1330</v>
      </c>
      <c r="D42" s="653"/>
      <c r="E42" s="654" t="s">
        <v>769</v>
      </c>
      <c r="F42" s="654" t="s">
        <v>1331</v>
      </c>
      <c r="G42" s="656">
        <v>8.9</v>
      </c>
      <c r="H42" s="656">
        <v>10.4</v>
      </c>
      <c r="I42" s="824" t="s">
        <v>1326</v>
      </c>
      <c r="J42" s="824"/>
    </row>
    <row r="43" spans="1:11" ht="18.75">
      <c r="A43" s="650"/>
      <c r="B43" s="653" t="s">
        <v>1327</v>
      </c>
      <c r="C43" s="653" t="s">
        <v>1347</v>
      </c>
      <c r="D43" s="653"/>
      <c r="E43" s="654" t="s">
        <v>583</v>
      </c>
      <c r="F43" s="654" t="s">
        <v>1332</v>
      </c>
      <c r="G43" s="656">
        <v>4.8</v>
      </c>
      <c r="H43" s="656">
        <v>4.8</v>
      </c>
      <c r="I43" s="824" t="s">
        <v>1326</v>
      </c>
      <c r="J43" s="824"/>
    </row>
    <row r="44" spans="1:11" ht="18.75">
      <c r="A44" s="650"/>
      <c r="B44" s="653" t="s">
        <v>1333</v>
      </c>
      <c r="C44" s="653" t="s">
        <v>1335</v>
      </c>
      <c r="D44" s="653"/>
      <c r="E44" s="654" t="s">
        <v>585</v>
      </c>
      <c r="F44" s="654" t="s">
        <v>598</v>
      </c>
      <c r="G44" s="655">
        <v>12.5</v>
      </c>
      <c r="H44" s="655">
        <v>30.7</v>
      </c>
      <c r="I44" s="824" t="s">
        <v>1334</v>
      </c>
      <c r="J44" s="824"/>
    </row>
    <row r="45" spans="1:11" ht="18.75">
      <c r="A45" s="650"/>
      <c r="B45" s="653" t="s">
        <v>1336</v>
      </c>
      <c r="C45" s="653" t="s">
        <v>1339</v>
      </c>
      <c r="D45" s="653"/>
      <c r="E45" s="654" t="s">
        <v>1341</v>
      </c>
      <c r="F45" s="654" t="s">
        <v>467</v>
      </c>
      <c r="G45" s="656">
        <v>26.9</v>
      </c>
      <c r="H45" s="656">
        <v>65</v>
      </c>
      <c r="I45" s="824" t="s">
        <v>1343</v>
      </c>
      <c r="J45" s="824"/>
    </row>
    <row r="46" spans="1:11" ht="18.75">
      <c r="A46" s="650"/>
      <c r="B46" s="653" t="s">
        <v>1337</v>
      </c>
      <c r="C46" s="653" t="s">
        <v>1339</v>
      </c>
      <c r="D46" s="653"/>
      <c r="E46" s="654" t="s">
        <v>1341</v>
      </c>
      <c r="F46" s="654" t="s">
        <v>467</v>
      </c>
      <c r="G46" s="656">
        <v>31.5</v>
      </c>
      <c r="H46" s="656">
        <v>59.7</v>
      </c>
      <c r="I46" s="824" t="s">
        <v>1343</v>
      </c>
      <c r="J46" s="824"/>
    </row>
    <row r="47" spans="1:11" ht="18.75">
      <c r="A47" s="650"/>
      <c r="B47" s="653" t="s">
        <v>1338</v>
      </c>
      <c r="C47" s="653" t="s">
        <v>1340</v>
      </c>
      <c r="D47" s="653"/>
      <c r="E47" s="654" t="s">
        <v>1341</v>
      </c>
      <c r="F47" s="654" t="s">
        <v>1342</v>
      </c>
      <c r="G47" s="656">
        <v>26.9</v>
      </c>
      <c r="H47" s="656">
        <v>195.3</v>
      </c>
      <c r="I47" s="824" t="s">
        <v>1343</v>
      </c>
      <c r="J47" s="824"/>
    </row>
    <row r="48" spans="1:11" ht="18.75">
      <c r="A48" s="650"/>
      <c r="B48" s="339"/>
      <c r="C48" s="339"/>
      <c r="D48" s="339"/>
      <c r="E48" s="662"/>
      <c r="F48" s="662"/>
      <c r="G48" s="663"/>
      <c r="H48" s="663"/>
      <c r="I48" s="662"/>
      <c r="J48" s="662"/>
    </row>
    <row r="50" spans="1:11" ht="18.75">
      <c r="A50" s="339"/>
    </row>
    <row r="51" spans="1:11" ht="18.75" customHeight="1">
      <c r="A51" s="765" t="str">
        <f>HLOOKUP(K6,'Deckblatt-Sprachen'!A1:C21,21,FALSE)</f>
        <v>Die in diesem EXCEL Tool angegebenen technischen Inhalte gelten, bis ein (im Internet zum Download zur Verfügung stehendes) neues EXCEL Tool erscheint. Dieses EXCEL Tool steht im ausschließlichen Eigentum der Knapp GmbH. Vervielfältigungen, Reproduktion oder Veröffentlichungen, auch nur auszugsweise, sind nur nach vorheriger schriftlicher Genehmigung durch die Knapp GmbH gestattet. Alle Angaben in dieses EXCEL Tool erfolgen unter dem Vorbehalt etwaiger Druck und Schreibfehler sowie sonstiger Irrtümer. Technische Zeichnungen und Berechnungen, insbesondere solche, die Statik betreffen, sind vom Kunden in Eigenverantwortung vorzunehmen. Allfällige diesbezügliche Berechnungen und Zeichnungen seitens der Firma Knapp GmbH sind Vorschläge zur Orientierung ohne Gewähr und/oder Haftung für deren Richtigkeit und befreien den Kunden daher nicht davon, selbst für eine ordnungsgemäße Zeichnung und Berechnung durch einen Fachmann Sorge zu tragen. Bildnachweise liegen vor und können bei Bedarf angefordert werden. Alle Rechte vorbehalten. Copyright © 2022 by Knapp GmbH.</v>
      </c>
      <c r="B51" s="765"/>
      <c r="C51" s="765"/>
      <c r="D51" s="765"/>
      <c r="E51" s="765"/>
      <c r="F51" s="765"/>
      <c r="G51" s="765"/>
      <c r="H51" s="765"/>
      <c r="I51" s="765"/>
      <c r="J51" s="765"/>
      <c r="K51" s="661"/>
    </row>
    <row r="52" spans="1:11" ht="15" customHeight="1">
      <c r="A52" s="765"/>
      <c r="B52" s="765"/>
      <c r="C52" s="765"/>
      <c r="D52" s="765"/>
      <c r="E52" s="765"/>
      <c r="F52" s="765"/>
      <c r="G52" s="765"/>
      <c r="H52" s="765"/>
      <c r="I52" s="765"/>
      <c r="J52" s="765"/>
      <c r="K52" s="661"/>
    </row>
    <row r="53" spans="1:11" ht="15" customHeight="1">
      <c r="A53" s="765"/>
      <c r="B53" s="765"/>
      <c r="C53" s="765"/>
      <c r="D53" s="765"/>
      <c r="E53" s="765"/>
      <c r="F53" s="765"/>
      <c r="G53" s="765"/>
      <c r="H53" s="765"/>
      <c r="I53" s="765"/>
      <c r="J53" s="765"/>
      <c r="K53" s="661"/>
    </row>
    <row r="54" spans="1:11" ht="15" customHeight="1">
      <c r="A54" s="765"/>
      <c r="B54" s="765"/>
      <c r="C54" s="765"/>
      <c r="D54" s="765"/>
      <c r="E54" s="765"/>
      <c r="F54" s="765"/>
      <c r="G54" s="765"/>
      <c r="H54" s="765"/>
      <c r="I54" s="765"/>
      <c r="J54" s="765"/>
      <c r="K54" s="661"/>
    </row>
    <row r="55" spans="1:11" ht="15" customHeight="1">
      <c r="A55" s="765"/>
      <c r="B55" s="765"/>
      <c r="C55" s="765"/>
      <c r="D55" s="765"/>
      <c r="E55" s="765"/>
      <c r="F55" s="765"/>
      <c r="G55" s="765"/>
      <c r="H55" s="765"/>
      <c r="I55" s="765"/>
      <c r="J55" s="765"/>
      <c r="K55" s="661"/>
    </row>
    <row r="56" spans="1:11" ht="15" customHeight="1">
      <c r="A56" s="765"/>
      <c r="B56" s="765"/>
      <c r="C56" s="765"/>
      <c r="D56" s="765"/>
      <c r="E56" s="765"/>
      <c r="F56" s="765"/>
      <c r="G56" s="765"/>
      <c r="H56" s="765"/>
      <c r="I56" s="765"/>
      <c r="J56" s="765"/>
      <c r="K56" s="661"/>
    </row>
    <row r="57" spans="1:11" ht="15" customHeight="1">
      <c r="A57" s="765"/>
      <c r="B57" s="765"/>
      <c r="C57" s="765"/>
      <c r="D57" s="765"/>
      <c r="E57" s="765"/>
      <c r="F57" s="765"/>
      <c r="G57" s="765"/>
      <c r="H57" s="765"/>
      <c r="I57" s="765"/>
      <c r="J57" s="765"/>
      <c r="K57" s="661"/>
    </row>
    <row r="58" spans="1:11" ht="15" customHeight="1">
      <c r="A58" s="765"/>
      <c r="B58" s="765"/>
      <c r="C58" s="765"/>
      <c r="D58" s="765"/>
      <c r="E58" s="765"/>
      <c r="F58" s="765"/>
      <c r="G58" s="765"/>
      <c r="H58" s="765"/>
      <c r="I58" s="765"/>
      <c r="J58" s="765"/>
      <c r="K58" s="661"/>
    </row>
    <row r="59" spans="1:11" ht="15" customHeight="1">
      <c r="A59" s="765"/>
      <c r="B59" s="765"/>
      <c r="C59" s="765"/>
      <c r="D59" s="765"/>
      <c r="E59" s="765"/>
      <c r="F59" s="765"/>
      <c r="G59" s="765"/>
      <c r="H59" s="765"/>
      <c r="I59" s="765"/>
      <c r="J59" s="765"/>
      <c r="K59" s="661"/>
    </row>
    <row r="60" spans="1:11" ht="15" customHeight="1">
      <c r="A60" s="765"/>
      <c r="B60" s="765"/>
      <c r="C60" s="765"/>
      <c r="D60" s="765"/>
      <c r="E60" s="765"/>
      <c r="F60" s="765"/>
      <c r="G60" s="765"/>
      <c r="H60" s="765"/>
      <c r="I60" s="765"/>
      <c r="J60" s="765"/>
      <c r="K60" s="661"/>
    </row>
    <row r="61" spans="1:11" ht="15" customHeight="1">
      <c r="A61" s="765"/>
      <c r="B61" s="765"/>
      <c r="C61" s="765"/>
      <c r="D61" s="765"/>
      <c r="E61" s="765"/>
      <c r="F61" s="765"/>
      <c r="G61" s="765"/>
      <c r="H61" s="765"/>
      <c r="I61" s="765"/>
      <c r="J61" s="765"/>
      <c r="K61" s="661"/>
    </row>
    <row r="62" spans="1:11" ht="15" customHeight="1">
      <c r="A62" s="661"/>
      <c r="B62" s="661"/>
      <c r="C62" s="661"/>
      <c r="D62" s="661"/>
      <c r="E62" s="661"/>
      <c r="F62" s="661"/>
      <c r="G62" s="661"/>
      <c r="H62" s="661"/>
      <c r="I62" s="661"/>
      <c r="J62" s="661"/>
      <c r="K62" s="661"/>
    </row>
    <row r="63" spans="1:11" ht="15" customHeight="1">
      <c r="A63" s="661"/>
      <c r="B63" s="661"/>
      <c r="C63" s="661"/>
      <c r="D63" s="661"/>
      <c r="E63" s="661"/>
      <c r="F63" s="661"/>
      <c r="G63" s="661"/>
      <c r="H63" s="661"/>
      <c r="I63" s="661"/>
      <c r="J63" s="661"/>
      <c r="K63" s="661"/>
    </row>
  </sheetData>
  <sheetProtection algorithmName="SHA-512" hashValue="jV3V42x4y5F/bZlNofOdAeFtoH15Y0zLTPegD+hKU6ZqhY4Yk9eY2U6HZHr1tB4+G9VRaujJNMORCQZ9h/fRkQ==" saltValue="vY1ZWM+vR1AHxghIMVwy/w==" spinCount="100000" sheet="1" objects="1" scenarios="1" selectLockedCells="1"/>
  <mergeCells count="19">
    <mergeCell ref="I45:J45"/>
    <mergeCell ref="I46:J46"/>
    <mergeCell ref="I47:J47"/>
    <mergeCell ref="A51:J61"/>
    <mergeCell ref="I40:J40"/>
    <mergeCell ref="I41:J41"/>
    <mergeCell ref="I42:J42"/>
    <mergeCell ref="I43:J43"/>
    <mergeCell ref="I44:J44"/>
    <mergeCell ref="B36:D38"/>
    <mergeCell ref="E36:F38"/>
    <mergeCell ref="G36:H38"/>
    <mergeCell ref="I36:J38"/>
    <mergeCell ref="I39:J39"/>
    <mergeCell ref="A1:K2"/>
    <mergeCell ref="H3:I3"/>
    <mergeCell ref="J3:K3"/>
    <mergeCell ref="A4:K4"/>
    <mergeCell ref="A33:K34"/>
  </mergeCells>
  <phoneticPr fontId="56" type="noConversion"/>
  <hyperlinks>
    <hyperlink ref="I39:J39" location="RICON!B5" display="RICON" xr:uid="{2CC9A3B3-D82C-4647-B4A2-93D6D04A2E55}"/>
    <hyperlink ref="I40:J40" location="RICON!B52" display="RICON" xr:uid="{2453BE53-0D82-4065-B8BB-0C389DF65C19}"/>
    <hyperlink ref="I41:J41" location="RICON!B52" display="RICON" xr:uid="{B887AFC4-A5D3-4B91-B903-0F6B98C9D931}"/>
    <hyperlink ref="I42:J42" location="RICON!B52" display="RICON" xr:uid="{7875B543-74D7-4028-A7D7-A88195951592}"/>
    <hyperlink ref="I43:J43" location="RICON!B52" display="RICON" xr:uid="{5634B32C-4A72-4F27-B29B-CC13D7A903E7}"/>
    <hyperlink ref="I44:J44" location="GIGANT!B5" display="GIGANT" xr:uid="{CACB6517-10EA-4716-B5DD-A5CA4B492DC5}"/>
    <hyperlink ref="I45:J45" location="'RICON-S'!B6" display="RICON S" xr:uid="{FD57DD79-7905-43A8-AA47-EE6049F2AD5C}"/>
    <hyperlink ref="I46:J46" location="'RICON-S'!B40" display="RICON S" xr:uid="{16862D3E-2FA5-42D6-8C44-274CCF6D12B9}"/>
    <hyperlink ref="I47:J47" location="'RICON-S'!B76" display="RICON S" xr:uid="{308891A1-916D-4659-8300-7102406A8808}"/>
  </hyperlinks>
  <printOptions headings="1" gridLines="1"/>
  <pageMargins left="0.7" right="0.7" top="0.78740157499999996" bottom="0.78740157499999996" header="0.3" footer="0.3"/>
  <pageSetup paperSize="9" scale="59" orientation="portrait" horizontalDpi="1200" verticalDpi="1200" r:id="rId1"/>
  <headerFooter>
    <oddFooter xml:space="preserve">&amp;CKnapp GmbH (Austria/Europe) Wassergasse 31 I A-3324 Euratsfeld  
Statik +43 (0) 7474 / 799 10 I statik@knapp-verbinder.com I www.knapp-verbinder.com I France +33 (0)3 88 48 17 87 I france@knapp-connectors.com I  www.knapp-connectors.com/fr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8569DD-06DE-4C6C-B932-26D2C3281BB0}">
          <x14:formula1>
            <xm:f>'RICON_Sprachen_DE_EN-FR'!$A$1:$C$1</xm:f>
          </x14:formula1>
          <xm:sqref>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007E2-E5F3-491A-9027-94C75F3A50F6}">
  <dimension ref="A1:E27"/>
  <sheetViews>
    <sheetView workbookViewId="0">
      <selection activeCell="C21" sqref="C2:C21"/>
    </sheetView>
  </sheetViews>
  <sheetFormatPr baseColWidth="10" defaultRowHeight="15"/>
  <cols>
    <col min="1" max="1" width="93.5703125" customWidth="1"/>
    <col min="2" max="2" width="113.42578125" customWidth="1"/>
    <col min="3" max="3" width="91.28515625" bestFit="1" customWidth="1"/>
  </cols>
  <sheetData>
    <row r="1" spans="1:3">
      <c r="A1" t="s">
        <v>883</v>
      </c>
      <c r="B1" t="s">
        <v>640</v>
      </c>
      <c r="C1" t="s">
        <v>884</v>
      </c>
    </row>
    <row r="2" spans="1:3">
      <c r="A2" t="s">
        <v>1284</v>
      </c>
      <c r="B2" t="s">
        <v>1285</v>
      </c>
      <c r="C2" t="s">
        <v>1350</v>
      </c>
    </row>
    <row r="3" spans="1:3">
      <c r="A3" t="s">
        <v>1286</v>
      </c>
      <c r="B3" t="s">
        <v>1287</v>
      </c>
      <c r="C3" t="s">
        <v>1351</v>
      </c>
    </row>
    <row r="4" spans="1:3">
      <c r="A4" t="s">
        <v>1288</v>
      </c>
      <c r="B4" t="s">
        <v>1289</v>
      </c>
      <c r="C4" t="s">
        <v>1352</v>
      </c>
    </row>
    <row r="5" spans="1:3">
      <c r="A5" t="s">
        <v>1290</v>
      </c>
      <c r="B5" t="s">
        <v>1292</v>
      </c>
      <c r="C5" t="s">
        <v>1294</v>
      </c>
    </row>
    <row r="6" spans="1:3">
      <c r="A6" t="s">
        <v>1291</v>
      </c>
      <c r="B6" t="s">
        <v>1293</v>
      </c>
      <c r="C6" t="s">
        <v>1295</v>
      </c>
    </row>
    <row r="7" spans="1:3">
      <c r="A7" t="s">
        <v>1296</v>
      </c>
      <c r="B7" s="489" t="s">
        <v>1297</v>
      </c>
      <c r="C7" s="142" t="s">
        <v>1298</v>
      </c>
    </row>
    <row r="8" spans="1:3">
      <c r="A8" t="s">
        <v>1300</v>
      </c>
      <c r="B8" t="s">
        <v>1301</v>
      </c>
      <c r="C8" t="s">
        <v>1302</v>
      </c>
    </row>
    <row r="9" spans="1:3">
      <c r="A9" t="s">
        <v>1303</v>
      </c>
      <c r="B9" t="s">
        <v>1304</v>
      </c>
      <c r="C9" t="s">
        <v>1305</v>
      </c>
    </row>
    <row r="10" spans="1:3">
      <c r="A10" t="s">
        <v>1307</v>
      </c>
      <c r="B10" t="s">
        <v>1306</v>
      </c>
      <c r="C10" t="s">
        <v>1353</v>
      </c>
    </row>
    <row r="11" spans="1:3">
      <c r="A11" t="s">
        <v>1313</v>
      </c>
      <c r="B11" t="s">
        <v>1308</v>
      </c>
      <c r="C11" t="s">
        <v>1354</v>
      </c>
    </row>
    <row r="12" spans="1:3">
      <c r="A12" t="s">
        <v>1314</v>
      </c>
      <c r="B12" t="s">
        <v>1309</v>
      </c>
      <c r="C12" t="s">
        <v>1355</v>
      </c>
    </row>
    <row r="13" spans="1:3">
      <c r="A13" t="s">
        <v>1312</v>
      </c>
      <c r="B13" t="s">
        <v>1310</v>
      </c>
      <c r="C13" t="s">
        <v>1356</v>
      </c>
    </row>
    <row r="14" spans="1:3">
      <c r="A14" t="s">
        <v>1315</v>
      </c>
      <c r="B14" t="s">
        <v>1311</v>
      </c>
      <c r="C14" t="s">
        <v>1357</v>
      </c>
    </row>
    <row r="15" spans="1:3" ht="30">
      <c r="A15" s="142" t="s">
        <v>1322</v>
      </c>
      <c r="B15" s="333" t="s">
        <v>1323</v>
      </c>
      <c r="C15" s="142" t="s">
        <v>1358</v>
      </c>
    </row>
    <row r="16" spans="1:3">
      <c r="A16" t="s">
        <v>1320</v>
      </c>
      <c r="B16" t="s">
        <v>1321</v>
      </c>
      <c r="C16" t="s">
        <v>1359</v>
      </c>
    </row>
    <row r="17" spans="1:5">
      <c r="A17" t="s">
        <v>901</v>
      </c>
      <c r="B17" s="489" t="s">
        <v>1194</v>
      </c>
      <c r="C17" s="142" t="s">
        <v>1360</v>
      </c>
    </row>
    <row r="18" spans="1:5">
      <c r="A18" t="s">
        <v>1324</v>
      </c>
      <c r="B18" t="s">
        <v>1325</v>
      </c>
      <c r="C18" t="s">
        <v>1361</v>
      </c>
    </row>
    <row r="19" spans="1:5">
      <c r="A19" t="s">
        <v>1344</v>
      </c>
      <c r="B19" t="s">
        <v>1345</v>
      </c>
      <c r="C19" t="s">
        <v>1346</v>
      </c>
    </row>
    <row r="20" spans="1:5">
      <c r="C20" t="s">
        <v>1362</v>
      </c>
    </row>
    <row r="21" spans="1:5" ht="127.5">
      <c r="A21" s="659" t="s">
        <v>1348</v>
      </c>
      <c r="B21" s="659" t="s">
        <v>1349</v>
      </c>
      <c r="C21" s="659" t="s">
        <v>1363</v>
      </c>
      <c r="D21" s="657"/>
    </row>
    <row r="22" spans="1:5">
      <c r="C22" s="660"/>
    </row>
    <row r="23" spans="1:5">
      <c r="C23" s="660"/>
    </row>
    <row r="24" spans="1:5">
      <c r="E24" s="658"/>
    </row>
    <row r="27" spans="1:5" ht="15" customHeight="1">
      <c r="D27" s="658"/>
      <c r="E27" s="658"/>
    </row>
  </sheetData>
  <sheetProtection algorithmName="SHA-512" hashValue="axcINemIoUx21xui8tnQY55NsM/EyPwux2wOztxz/7nSuKfV6kdjbyRfvOsWvtkmq//NTeY4l8r7/kJFaU8oBg==" saltValue="7TcsmeuU957Sxc/JyhmjeA==" spinCount="100000" sheet="1" objects="1" scenarios="1" select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U137"/>
  <sheetViews>
    <sheetView showGridLines="0" showRowColHeaders="0" showRuler="0" view="pageLayout" topLeftCell="A90" zoomScale="110" zoomScaleNormal="100" zoomScalePageLayoutView="110" workbookViewId="0">
      <selection activeCell="B52" sqref="B52"/>
    </sheetView>
  </sheetViews>
  <sheetFormatPr baseColWidth="10" defaultRowHeight="15"/>
  <cols>
    <col min="1" max="1" width="29.140625" customWidth="1"/>
    <col min="2" max="2" width="24.85546875" bestFit="1" customWidth="1"/>
    <col min="3" max="3" width="14.7109375" customWidth="1"/>
    <col min="4" max="4" width="24.5703125" customWidth="1"/>
    <col min="5" max="5" width="13" bestFit="1" customWidth="1"/>
    <col min="6" max="9" width="13.28515625" customWidth="1"/>
    <col min="10" max="10" width="14.7109375" customWidth="1"/>
    <col min="11" max="11" width="13.5703125" customWidth="1"/>
    <col min="12" max="12" width="27.42578125" customWidth="1"/>
    <col min="13" max="13" width="11.42578125" customWidth="1"/>
    <col min="14" max="14" width="13.7109375" customWidth="1"/>
    <col min="15" max="20" width="11.42578125" customWidth="1"/>
  </cols>
  <sheetData>
    <row r="1" spans="1:21" ht="21" customHeight="1">
      <c r="A1" s="758" t="str">
        <f>HLOOKUP(K6,'RICON_Sprachen_DE_EN-FR'!A1:C2,2,FALSE)</f>
        <v xml:space="preserve">Belastungstabelle von KNAPP® RICON® Normalstahl nach ETA-10/0189 (Ausgabe 25/08/2022) </v>
      </c>
      <c r="B1" s="758"/>
      <c r="C1" s="758"/>
      <c r="D1" s="758"/>
      <c r="E1" s="758"/>
      <c r="F1" s="758"/>
      <c r="G1" s="758"/>
      <c r="H1" s="758"/>
      <c r="I1" s="758"/>
      <c r="J1" s="758"/>
      <c r="K1" s="758"/>
      <c r="L1" s="425"/>
      <c r="M1" s="425"/>
      <c r="N1" s="425"/>
      <c r="O1" s="425"/>
      <c r="P1" s="425"/>
      <c r="Q1" s="425"/>
      <c r="R1" s="425"/>
      <c r="S1" s="425"/>
    </row>
    <row r="2" spans="1:21" ht="21.6" customHeight="1" thickBot="1">
      <c r="A2" s="759"/>
      <c r="B2" s="759"/>
      <c r="C2" s="759"/>
      <c r="D2" s="759"/>
      <c r="E2" s="759"/>
      <c r="F2" s="759"/>
      <c r="G2" s="759"/>
      <c r="H2" s="759"/>
      <c r="I2" s="759"/>
      <c r="J2" s="759"/>
      <c r="K2" s="759"/>
      <c r="L2" s="433"/>
      <c r="M2" s="425"/>
      <c r="N2" s="425"/>
      <c r="O2" s="425"/>
      <c r="P2" s="425"/>
      <c r="Q2" s="425"/>
      <c r="R2" s="425"/>
      <c r="S2" s="425"/>
    </row>
    <row r="3" spans="1:21" ht="21" customHeight="1">
      <c r="A3" s="344"/>
      <c r="B3" s="344"/>
      <c r="C3" s="344"/>
      <c r="D3" s="344"/>
      <c r="E3" s="344"/>
      <c r="F3" s="344"/>
      <c r="H3" s="760" t="s">
        <v>1375</v>
      </c>
      <c r="I3" s="760"/>
      <c r="J3" s="761">
        <v>44946</v>
      </c>
      <c r="K3" s="761"/>
      <c r="L3" s="426"/>
      <c r="M3" s="426"/>
      <c r="N3" s="426"/>
      <c r="O3" s="426"/>
      <c r="P3" s="426"/>
      <c r="Q3" s="426"/>
      <c r="R3" s="426"/>
      <c r="S3" s="426"/>
      <c r="T3" s="426"/>
      <c r="U3" s="426"/>
    </row>
    <row r="4" spans="1:21" ht="33.75">
      <c r="A4" s="370" t="str">
        <f>HLOOKUP($K$6,'RICON_Sprachen_DE_EN-FR'!$A$1:$C$3,3,FALSE)</f>
        <v>RICON® Normalstahl:</v>
      </c>
      <c r="B4" s="371"/>
      <c r="C4" s="371"/>
      <c r="D4" s="371"/>
      <c r="E4" s="371"/>
      <c r="F4" s="371"/>
      <c r="G4" s="371"/>
      <c r="H4" s="371"/>
      <c r="I4" s="371"/>
      <c r="J4" s="369"/>
      <c r="K4" s="369"/>
      <c r="L4" s="427"/>
      <c r="M4" s="427"/>
      <c r="N4" s="427"/>
      <c r="O4" s="427"/>
      <c r="P4" s="427"/>
      <c r="Q4" s="427"/>
      <c r="R4" s="427"/>
      <c r="S4" s="427"/>
      <c r="T4" s="427"/>
      <c r="U4" s="427"/>
    </row>
    <row r="5" spans="1:21" ht="21">
      <c r="A5" s="337" t="str">
        <f>HLOOKUP($K$6,'RICON_Sprachen_DE_EN-FR'!$A$1:$C$4,4,FALSE)</f>
        <v>Belastungswerte:</v>
      </c>
      <c r="B5" s="577" t="s">
        <v>1210</v>
      </c>
      <c r="C5" s="362"/>
      <c r="D5" s="362" t="str">
        <f>HLOOKUP(RICON!$K$6,'RICON_Sprachen_DE_EN-FR'!$A$1:$C$5,5,FALSE)</f>
        <v>Festigkeitsklasse:</v>
      </c>
      <c r="E5" s="400" t="s">
        <v>25</v>
      </c>
      <c r="G5" s="391" t="str">
        <f>VLOOKUP(E5,'RICON_RICON-S-EK_GIGANT_WALCO '!V7:AA18,3,FALSE)</f>
        <v>Brettschichtholz homogen</v>
      </c>
      <c r="H5" s="362"/>
      <c r="K5" s="161" t="str">
        <f>IF(K6="DE","Language",IF(K6="EN","Language","Langue"))</f>
        <v>Language</v>
      </c>
      <c r="L5" s="362"/>
      <c r="M5" s="362"/>
      <c r="N5" s="362"/>
      <c r="O5" s="362"/>
      <c r="P5" s="362"/>
      <c r="Q5" s="362"/>
      <c r="R5" s="362"/>
      <c r="S5" s="362"/>
    </row>
    <row r="6" spans="1:21" ht="18" customHeight="1">
      <c r="A6" s="772" t="str">
        <f>IF(B5='RICON_RICON-S-EK_GIGANT_WALCO '!V20,HLOOKUP(RICON!$K$6,'RICON_RICON-S-EK_GIGANT_WALCO '!V19:Y20,2,FALSE),IF(RICON!B5='RICON_RICON-S-EK_GIGANT_WALCO '!V21,HLOOKUP(RICON!$K$6,'RICON_RICON-S-EK_GIGANT_WALCO '!V19:Y21,3,FALSE),IF(RICON!B5='RICON_RICON-S-EK_GIGANT_WALCO '!V22,HLOOKUP(RICON!$K$6,'RICON_RICON-S-EK_GIGANT_WALCO '!V19:Y22,4,FALSE),HLOOKUP(RICON!$K$6,'RICON_RICON-S-EK_GIGANT_WALCO '!V19:Y23,5,FALSE))))</f>
        <v>In Einschubrichtung</v>
      </c>
      <c r="B6" s="772"/>
      <c r="C6" s="772"/>
      <c r="D6" s="362" t="str">
        <f>HLOOKUP($K$6,'RICON_Sprachen_DE_EN-FR'!$A$1:$C$6,6,FALSE)</f>
        <v>Nutzungsklasse NKL:</v>
      </c>
      <c r="E6" s="400">
        <v>1</v>
      </c>
      <c r="G6" s="391" t="str">
        <f>VLOOKUP(RICON!E6,'RICON_RICON-S-EK_GIGANT_WALCO '!V27:Z28,2,FALSE)</f>
        <v>Innenbereich</v>
      </c>
      <c r="K6" s="488" t="s">
        <v>883</v>
      </c>
      <c r="L6" s="339"/>
    </row>
    <row r="7" spans="1:21" ht="21">
      <c r="A7" s="771" t="str">
        <f>HLOOKUP(K6,'RICON_RICON-S-EK_GIGANT_WALCO '!W19:Y24,6,FALSE)</f>
        <v>Anzahl der Sperrbügel:</v>
      </c>
      <c r="B7" s="771"/>
      <c r="C7" s="400">
        <v>1</v>
      </c>
      <c r="D7" s="362"/>
      <c r="E7" s="362"/>
      <c r="F7" s="362"/>
      <c r="G7" s="391"/>
      <c r="L7" s="339"/>
    </row>
    <row r="8" spans="1:21" ht="21" customHeight="1">
      <c r="A8" s="344"/>
      <c r="B8" s="344"/>
      <c r="C8" s="344"/>
      <c r="D8" s="344"/>
      <c r="E8" s="344"/>
      <c r="F8" s="344"/>
      <c r="G8" s="344"/>
      <c r="H8" s="344"/>
      <c r="I8" s="344"/>
      <c r="L8" s="344"/>
      <c r="M8" s="344"/>
      <c r="N8" s="344"/>
      <c r="O8" s="344"/>
      <c r="P8" s="344"/>
      <c r="Q8" s="344"/>
      <c r="R8" s="344"/>
      <c r="S8" s="344"/>
    </row>
    <row r="9" spans="1:21" ht="21" customHeight="1">
      <c r="A9" s="711"/>
      <c r="B9" s="711"/>
      <c r="C9" s="711"/>
      <c r="D9" s="711"/>
      <c r="E9" s="711"/>
      <c r="F9" s="711"/>
      <c r="G9" s="711"/>
      <c r="H9" s="711"/>
      <c r="I9" s="711"/>
      <c r="K9" s="368"/>
      <c r="L9" s="344"/>
      <c r="M9" s="344"/>
      <c r="N9" s="344"/>
      <c r="O9" s="344"/>
      <c r="P9" s="344"/>
      <c r="Q9" s="344"/>
      <c r="R9" s="344"/>
      <c r="S9" s="344"/>
    </row>
    <row r="10" spans="1:21" ht="21" customHeight="1">
      <c r="A10" s="711"/>
      <c r="B10" s="711"/>
      <c r="C10" s="711"/>
      <c r="D10" s="711"/>
      <c r="E10" s="711"/>
      <c r="F10" s="711"/>
      <c r="G10" s="711"/>
      <c r="H10" s="711"/>
      <c r="I10" s="711"/>
      <c r="K10" s="368"/>
      <c r="L10" s="344"/>
      <c r="M10" s="344"/>
      <c r="N10" s="344"/>
      <c r="O10" s="344"/>
      <c r="P10" s="344"/>
      <c r="Q10" s="344"/>
      <c r="R10" s="344"/>
      <c r="S10" s="344"/>
    </row>
    <row r="11" spans="1:21" ht="21" customHeight="1">
      <c r="A11" s="711"/>
      <c r="B11" s="711"/>
      <c r="C11" s="711"/>
      <c r="D11" s="711"/>
      <c r="E11" s="711"/>
      <c r="F11" s="711"/>
      <c r="G11" s="711"/>
      <c r="H11" s="711"/>
      <c r="I11" s="711"/>
      <c r="J11" s="368" t="str">
        <f>HLOOKUP($K$6,'RICON_Sprachen_DE_EN-FR'!$A$1:C84,84,FALSE)</f>
        <v>1. Hauptträger</v>
      </c>
      <c r="K11" s="368"/>
      <c r="L11" s="344"/>
      <c r="M11" s="344"/>
      <c r="N11" s="344"/>
      <c r="O11" s="344"/>
      <c r="P11" s="344"/>
      <c r="Q11" s="344"/>
      <c r="R11" s="344"/>
      <c r="S11" s="344"/>
    </row>
    <row r="12" spans="1:21" ht="21" customHeight="1">
      <c r="A12" s="711"/>
      <c r="B12" s="711"/>
      <c r="C12" s="711"/>
      <c r="D12" s="711"/>
      <c r="E12" s="711"/>
      <c r="F12" s="711"/>
      <c r="G12" s="711"/>
      <c r="H12" s="711"/>
      <c r="I12" s="711"/>
      <c r="J12" s="368" t="str">
        <f>HLOOKUP($K$6,'RICON_Sprachen_DE_EN-FR'!$A$1:C85,85,FALSE)</f>
        <v>2. Nebenträger</v>
      </c>
      <c r="L12" s="344"/>
      <c r="M12" s="344"/>
      <c r="N12" s="344"/>
      <c r="O12" s="344"/>
      <c r="P12" s="344"/>
      <c r="Q12" s="344"/>
      <c r="R12" s="344"/>
      <c r="S12" s="344"/>
    </row>
    <row r="13" spans="1:21" ht="21" customHeight="1">
      <c r="A13" s="711"/>
      <c r="B13" s="711"/>
      <c r="C13" s="711"/>
      <c r="D13" s="711"/>
      <c r="E13" s="711"/>
      <c r="F13" s="711"/>
      <c r="G13" s="711"/>
      <c r="H13" s="711"/>
      <c r="I13" s="711"/>
      <c r="J13" s="368" t="str">
        <f>HLOOKUP($K$6,'RICON_Sprachen_DE_EN-FR'!$A$1:C86,86,FALSE)</f>
        <v>3. RICON® Einzelanschluss</v>
      </c>
      <c r="L13" s="344"/>
      <c r="M13" s="344"/>
      <c r="N13" s="344"/>
      <c r="O13" s="344"/>
      <c r="P13" s="344"/>
      <c r="Q13" s="344"/>
      <c r="R13" s="344"/>
      <c r="S13" s="344"/>
      <c r="U13" s="361"/>
    </row>
    <row r="14" spans="1:21" ht="21" customHeight="1">
      <c r="A14" s="711"/>
      <c r="B14" s="711"/>
      <c r="C14" s="711"/>
      <c r="D14" s="711"/>
      <c r="E14" s="711"/>
      <c r="F14" s="711"/>
      <c r="G14" s="711"/>
      <c r="H14" s="711"/>
      <c r="I14" s="711"/>
      <c r="J14" s="775" t="str">
        <f>HLOOKUP($K$6,'RICON_Sprachen_DE_EN-FR'!$A$1:C87,87,FALSE)</f>
        <v>4. Einzelanschluss mit Doppel RICON®</v>
      </c>
      <c r="K14" s="775"/>
      <c r="L14" s="344"/>
      <c r="M14" s="344"/>
      <c r="N14" s="344"/>
      <c r="O14" s="344"/>
      <c r="P14" s="344"/>
      <c r="Q14" s="344"/>
      <c r="R14" s="344"/>
      <c r="S14" s="344"/>
    </row>
    <row r="15" spans="1:21" ht="21" customHeight="1">
      <c r="A15" s="711"/>
      <c r="B15" s="711"/>
      <c r="C15" s="711"/>
      <c r="D15" s="711"/>
      <c r="E15" s="711"/>
      <c r="F15" s="711"/>
      <c r="G15" s="711"/>
      <c r="H15" s="711"/>
      <c r="I15" s="711"/>
      <c r="J15" s="775"/>
      <c r="K15" s="775"/>
      <c r="L15" s="344"/>
      <c r="M15" s="344"/>
      <c r="N15" s="344"/>
      <c r="O15" s="344"/>
      <c r="P15" s="344"/>
      <c r="Q15" s="344"/>
      <c r="R15" s="344"/>
      <c r="S15" s="344"/>
    </row>
    <row r="16" spans="1:21" ht="21" customHeight="1">
      <c r="A16" s="711"/>
      <c r="B16" s="711"/>
      <c r="C16" s="711"/>
      <c r="D16" s="711"/>
      <c r="E16" s="711"/>
      <c r="F16" s="711"/>
      <c r="G16" s="711"/>
      <c r="H16" s="711"/>
      <c r="I16" s="711"/>
      <c r="J16" s="775" t="str">
        <f>HLOOKUP($K$6,'RICON_Sprachen_DE_EN-FR'!$A$1:C88,88,FALSE)</f>
        <v>5. RICON® Doppelanschluss mit Verbundmutter</v>
      </c>
      <c r="K16" s="775"/>
      <c r="L16" s="344"/>
      <c r="M16" s="344"/>
      <c r="N16" s="344"/>
      <c r="O16" s="344"/>
      <c r="P16" s="344"/>
      <c r="Q16" s="344"/>
      <c r="R16" s="344"/>
      <c r="S16" s="344"/>
    </row>
    <row r="17" spans="1:21" ht="21" customHeight="1">
      <c r="A17" s="711"/>
      <c r="B17" s="711"/>
      <c r="C17" s="711"/>
      <c r="D17" s="711"/>
      <c r="E17" s="711"/>
      <c r="F17" s="711"/>
      <c r="G17" s="711"/>
      <c r="H17" s="711"/>
      <c r="I17" s="711"/>
      <c r="J17" s="775"/>
      <c r="K17" s="775"/>
      <c r="L17" s="344"/>
      <c r="M17" s="344"/>
      <c r="N17" s="344"/>
      <c r="O17" s="344"/>
      <c r="P17" s="344"/>
      <c r="Q17" s="344"/>
      <c r="R17" s="344"/>
      <c r="S17" s="344"/>
    </row>
    <row r="18" spans="1:21">
      <c r="A18" s="711"/>
      <c r="B18" s="711"/>
      <c r="C18" s="711"/>
      <c r="D18" s="711"/>
      <c r="E18" s="711"/>
      <c r="F18" s="711"/>
      <c r="G18" s="711"/>
      <c r="H18" s="711"/>
      <c r="I18" s="711"/>
      <c r="J18" s="368"/>
      <c r="K18" s="368"/>
    </row>
    <row r="19" spans="1:21">
      <c r="A19" s="711"/>
      <c r="B19" s="711"/>
      <c r="C19" s="711"/>
      <c r="D19" s="711"/>
      <c r="E19" s="711"/>
      <c r="F19" s="711"/>
      <c r="G19" s="711"/>
      <c r="H19" s="711"/>
      <c r="I19" s="711"/>
    </row>
    <row r="20" spans="1:21" ht="21">
      <c r="A20" s="716" t="str">
        <f>HLOOKUP(K6,'RICON_Sprachen_DE_EN-FR'!A1:C7,7,FALSE)</f>
        <v>Bild 1: RICON® Einzelanschluss</v>
      </c>
      <c r="B20" s="716"/>
      <c r="C20" t="str">
        <f>HLOOKUP(K6,'RICON_Sprachen_DE_EN-FR'!A1:C8,8,FALSE)</f>
        <v>Bild 2: Doppel RICON® übereinander</v>
      </c>
      <c r="F20" t="str">
        <f>HLOOKUP(K6,'RICON_Sprachen_DE_EN-FR'!A1:C9,9,FALSE)</f>
        <v>Bild 3: RICON® Doppelanschluss DA</v>
      </c>
      <c r="L20" s="337"/>
    </row>
    <row r="21" spans="1:21" ht="21">
      <c r="B21" s="337"/>
      <c r="L21" s="337"/>
    </row>
    <row r="22" spans="1:21" ht="15" customHeight="1">
      <c r="A22" s="528" t="str">
        <f>HLOOKUP($K$6,'RICON_Sprachen_DE_EN-FR'!$A$1:$C$10,10,FALSE)</f>
        <v>KNAPP® Verbinder</v>
      </c>
      <c r="B22" s="769" t="str">
        <f>HLOOKUP($K$6,'RICON_Sprachen_DE_EN-FR'!$A$1:$C$12,12,FALSE)</f>
        <v>Min. Nebenträgerabmessungen [mm]</v>
      </c>
      <c r="C22" s="768" t="str">
        <f>HLOOKUP($K$6,'RICON_Sprachen_DE_EN-FR'!$A$1:$C$13,13,FALSE)</f>
        <v>Charakteristische Werte [kN]</v>
      </c>
      <c r="D22" s="777"/>
      <c r="E22" s="545" t="str">
        <f>IF($B$5='RICON_RICON-S-EK_GIGANT_WALCO '!$V$20,"F1,KCC,Rd",IF(RICON!$B$5='RICON_RICON-S-EK_GIGANT_WALCO '!$V$21,"F2,KCC,Rd",IF(RICON!$B$5='RICON_RICON-S-EK_GIGANT_WALCO '!$V$22,"F3,KCC,Rd","F45,KCC,Rd")))</f>
        <v>F2,KCC,Rd</v>
      </c>
      <c r="F22" s="766" t="str">
        <f>HLOOKUP($K$6,'RICON_Sprachen_DE_EN-FR'!$A$1:$C$14,14,FALSE)</f>
        <v>Bemessungswerte</v>
      </c>
      <c r="G22" s="767"/>
      <c r="H22" s="767"/>
      <c r="I22" s="542" t="str">
        <f>IF($B$5='RICON_RICON-S-EK_GIGANT_WALCO '!$V$20,"F1,Rd [kN]",IF(RICON!$B$5='RICON_RICON-S-EK_GIGANT_WALCO '!$V$21,"F2,Rd [kN]",IF(RICON!$B$5='RICON_RICON-S-EK_GIGANT_WALCO '!$V$22,"F3,Rd [kN]","F45,Rd [kN]")))</f>
        <v>F2,Rd [kN]</v>
      </c>
      <c r="J22" s="543" t="str">
        <f>E5</f>
        <v>GL24h</v>
      </c>
      <c r="K22" s="531" t="s">
        <v>1203</v>
      </c>
      <c r="M22" s="375"/>
      <c r="N22" s="375"/>
      <c r="U22" s="368"/>
    </row>
    <row r="23" spans="1:21" ht="33.75" customHeight="1">
      <c r="A23" s="532" t="str">
        <f>HLOOKUP($K$6,'RICON_Sprachen_DE_EN-FR'!$A$1:$C$11,11,FALSE)</f>
        <v>Normalstahl</v>
      </c>
      <c r="B23" s="770"/>
      <c r="C23" s="529" t="str">
        <f>IF($B$5='RICON_RICON-S-EK_GIGANT_WALCO '!$V$20,"F1,KCC,RK",IF(RICON!$B$5='RICON_RICON-S-EK_GIGANT_WALCO '!$V$21,"F2,KCC,RK",IF(RICON!$B$5='RICON_RICON-S-EK_GIGANT_WALCO '!$V$22,"F3,KCC,RK","F45,KCC,Rk")))</f>
        <v>F2,KCC,RK</v>
      </c>
      <c r="D23" s="544" t="str">
        <f>IF($B$5='RICON_RICON-S-EK_GIGANT_WALCO '!$V$20,"F1,RK",IF(RICON!$B$5='RICON_RICON-S-EK_GIGANT_WALCO '!$V$21,"F2,RK",IF(RICON!$B$5='RICON_RICON-S-EK_GIGANT_WALCO '!$V$22,"F3,RK","F45,Rk")))</f>
        <v>F2,RK</v>
      </c>
      <c r="E23" s="547">
        <f>IF(B5='RICON_RICON-S-EK_GIGANT_WALCO '!V22,1.25,1)</f>
        <v>1</v>
      </c>
      <c r="F23" s="533">
        <v>0.6</v>
      </c>
      <c r="G23" s="533">
        <v>0.7</v>
      </c>
      <c r="H23" s="533">
        <v>0.8</v>
      </c>
      <c r="I23" s="533">
        <v>0.9</v>
      </c>
      <c r="J23" s="533">
        <v>1</v>
      </c>
      <c r="K23" s="533">
        <v>1.1000000000000001</v>
      </c>
      <c r="L23" s="428"/>
      <c r="M23" s="428"/>
      <c r="N23" s="428"/>
      <c r="O23" s="428"/>
      <c r="P23" s="428"/>
      <c r="Q23" s="428"/>
      <c r="R23" s="428"/>
      <c r="S23" s="428"/>
      <c r="T23" s="428"/>
      <c r="U23" s="428"/>
    </row>
    <row r="24" spans="1:21" ht="45">
      <c r="A24" s="62" t="str">
        <f>HLOOKUP($K$6,'RICON_Sprachen_DE_EN-FR'!A1:C29,15,FALSE)</f>
        <v>RICON® 60/40
HT: 1xSK8x50, 2xSK5x50
NT: 1xSK8x80, 2xSK5x80</v>
      </c>
      <c r="B24" s="350" t="s">
        <v>860</v>
      </c>
      <c r="C24" s="550">
        <f>IF($B$5='RICON_RICON-S-EK_GIGANT_WALCO '!$V$20,'RICON_RICON-S-EK_GIGANT_WALCO '!B20*2,IF(RICON!$B$5='RICON_RICON-S-EK_GIGANT_WALCO '!$V$21,'RICON_RICON-S-EK_GIGANT_WALCO '!C190,IF($B$5='RICON_RICON-S-EK_GIGANT_WALCO '!$V$22,IF($C$7=1,'RICON_RICON-S-EK_GIGANT_WALCO '!C502,'RICON_RICON-S-EK_GIGANT_WALCO '!C518),'RICON_RICON-S-EK_GIGANT_WALCO '!C763)))</f>
        <v>6</v>
      </c>
      <c r="D24" s="550">
        <f>IF($B$5='RICON_RICON-S-EK_GIGANT_WALCO '!$V$20,'RICON_RICON-S-EK_GIGANT_WALCO '!L20,IF(RICON!$B$5='RICON_RICON-S-EK_GIGANT_WALCO '!$V$21,'RICON_RICON-S-EK_GIGANT_WALCO '!F190,IF($B$5='RICON_RICON-S-EK_GIGANT_WALCO '!$V$22,MIN('RICON_RICON-S-EK_GIGANT_WALCO '!B502,'RICON_RICON-S-EK_GIGANT_WALCO '!E502),MIN('RICON_RICON-S-EK_GIGANT_WALCO '!B763,'RICON_RICON-S-EK_GIGANT_WALCO '!D763))))</f>
        <v>5.0131385975895597</v>
      </c>
      <c r="E24" s="546">
        <f t="shared" ref="E24:E38" si="0">C24/$E$23</f>
        <v>6</v>
      </c>
      <c r="F24" s="81">
        <f>MIN($C24/$E$23,$D24*F$23/1.3)</f>
        <v>2.3137562758105656</v>
      </c>
      <c r="G24" s="81">
        <f t="shared" ref="F24:K38" si="1">MIN($C24/$E$23,$D24*G$23/1.3)</f>
        <v>2.6993823217789936</v>
      </c>
      <c r="H24" s="81">
        <f t="shared" si="1"/>
        <v>3.0850083677474216</v>
      </c>
      <c r="I24" s="81">
        <f t="shared" si="1"/>
        <v>3.4706344137158487</v>
      </c>
      <c r="J24" s="81">
        <f t="shared" si="1"/>
        <v>3.8562604596842767</v>
      </c>
      <c r="K24" s="81">
        <f t="shared" si="1"/>
        <v>4.2418865056527046</v>
      </c>
      <c r="L24" s="338"/>
      <c r="M24" s="338"/>
      <c r="N24" s="338"/>
      <c r="O24" s="338"/>
      <c r="P24" s="338"/>
      <c r="Q24" s="338"/>
      <c r="R24" s="338"/>
      <c r="S24" s="338"/>
      <c r="T24" s="338"/>
      <c r="U24" s="338"/>
    </row>
    <row r="25" spans="1:21" ht="45">
      <c r="A25" s="62" t="str">
        <f>HLOOKUP($K$6,'RICON_Sprachen_DE_EN-FR'!$A$1:$C$29,16,FALSE)</f>
        <v>RICON® 80/40 
HT: 2xSK8x50, 2xSK5x50
NT: 2xSK8x80, 2xSK5x80</v>
      </c>
      <c r="B25" s="350" t="s">
        <v>861</v>
      </c>
      <c r="C25" s="550">
        <f>IF($B$5='RICON_RICON-S-EK_GIGANT_WALCO '!$V$20,'RICON_RICON-S-EK_GIGANT_WALCO '!B21*2,IF(RICON!$B$5='RICON_RICON-S-EK_GIGANT_WALCO '!$V$21,'RICON_RICON-S-EK_GIGANT_WALCO '!C191,IF($B$5='RICON_RICON-S-EK_GIGANT_WALCO '!$V$22,IF($C$7=1,'RICON_RICON-S-EK_GIGANT_WALCO '!C503,'RICON_RICON-S-EK_GIGANT_WALCO '!C519),'RICON_RICON-S-EK_GIGANT_WALCO '!C764)))</f>
        <v>11</v>
      </c>
      <c r="D25" s="550">
        <f>IF($B$5='RICON_RICON-S-EK_GIGANT_WALCO '!$V$20,'RICON_RICON-S-EK_GIGANT_WALCO '!L21,IF(RICON!$B$5='RICON_RICON-S-EK_GIGANT_WALCO '!$V$21,'RICON_RICON-S-EK_GIGANT_WALCO '!F191,IF($B$5='RICON_RICON-S-EK_GIGANT_WALCO '!$V$22,MIN('RICON_RICON-S-EK_GIGANT_WALCO '!B503,'RICON_RICON-S-EK_GIGANT_WALCO '!E503),MIN('RICON_RICON-S-EK_GIGANT_WALCO '!B764,'RICON_RICON-S-EK_GIGANT_WALCO '!D764))))</f>
        <v>7.2988007866232749</v>
      </c>
      <c r="E25" s="546">
        <f t="shared" si="0"/>
        <v>11</v>
      </c>
      <c r="F25" s="81">
        <f t="shared" si="1"/>
        <v>3.3686772861338188</v>
      </c>
      <c r="G25" s="81">
        <f t="shared" si="1"/>
        <v>3.9301235004894552</v>
      </c>
      <c r="H25" s="81">
        <f t="shared" si="1"/>
        <v>4.4915697148450926</v>
      </c>
      <c r="I25" s="81">
        <f t="shared" si="1"/>
        <v>5.0530159292007291</v>
      </c>
      <c r="J25" s="81">
        <f t="shared" si="1"/>
        <v>5.6144621435563655</v>
      </c>
      <c r="K25" s="81">
        <f t="shared" si="1"/>
        <v>6.175908357912002</v>
      </c>
      <c r="L25" s="338"/>
      <c r="M25" s="338"/>
      <c r="N25" s="338"/>
      <c r="O25" s="338"/>
      <c r="P25" s="338"/>
      <c r="Q25" s="338"/>
      <c r="R25" s="338"/>
      <c r="S25" s="338"/>
      <c r="T25" s="338"/>
      <c r="U25" s="338"/>
    </row>
    <row r="26" spans="1:21" ht="45">
      <c r="A26" s="62" t="str">
        <f>HLOOKUP($K$6,'RICON_Sprachen_DE_EN-FR'!$A$1:$C$29,17,FALSE)</f>
        <v>RICON® 100/40 
HT: 2xSK8x50, 4xSK5x50
NT: 2xSK8x80, 4xSK5x80</v>
      </c>
      <c r="B26" s="350" t="s">
        <v>862</v>
      </c>
      <c r="C26" s="550">
        <f>IF($B$5='RICON_RICON-S-EK_GIGANT_WALCO '!$V$20,'RICON_RICON-S-EK_GIGANT_WALCO '!B22*2,IF(RICON!$B$5='RICON_RICON-S-EK_GIGANT_WALCO '!$V$21,'RICON_RICON-S-EK_GIGANT_WALCO '!C192,IF($B$5='RICON_RICON-S-EK_GIGANT_WALCO '!$V$22,IF($C$7=1,'RICON_RICON-S-EK_GIGANT_WALCO '!C504,'RICON_RICON-S-EK_GIGANT_WALCO '!C520),'RICON_RICON-S-EK_GIGANT_WALCO '!C765)))</f>
        <v>14</v>
      </c>
      <c r="D26" s="550">
        <f>IF($B$5='RICON_RICON-S-EK_GIGANT_WALCO '!$V$20,'RICON_RICON-S-EK_GIGANT_WALCO '!L22,IF(RICON!$B$5='RICON_RICON-S-EK_GIGANT_WALCO '!$V$21,'RICON_RICON-S-EK_GIGANT_WALCO '!F192,IF($B$5='RICON_RICON-S-EK_GIGANT_WALCO '!$V$22,MIN('RICON_RICON-S-EK_GIGANT_WALCO '!B504,'RICON_RICON-S-EK_GIGANT_WALCO '!E504),MIN('RICON_RICON-S-EK_GIGANT_WALCO '!B765,'RICON_RICON-S-EK_GIGANT_WALCO '!D765))))</f>
        <v>10.026277195179119</v>
      </c>
      <c r="E26" s="546">
        <f t="shared" si="0"/>
        <v>14</v>
      </c>
      <c r="F26" s="81">
        <f t="shared" si="1"/>
        <v>4.6275125516211313</v>
      </c>
      <c r="G26" s="81">
        <f t="shared" si="1"/>
        <v>5.3987646435579872</v>
      </c>
      <c r="H26" s="81">
        <f t="shared" si="1"/>
        <v>6.1700167354948432</v>
      </c>
      <c r="I26" s="81">
        <f t="shared" si="1"/>
        <v>6.9412688274316974</v>
      </c>
      <c r="J26" s="81">
        <f t="shared" si="1"/>
        <v>7.7125209193685533</v>
      </c>
      <c r="K26" s="81">
        <f t="shared" si="1"/>
        <v>8.4837730113054093</v>
      </c>
      <c r="L26" s="338"/>
      <c r="M26" s="338"/>
      <c r="N26" s="338"/>
      <c r="O26" s="338"/>
      <c r="P26" s="338"/>
      <c r="Q26" s="338"/>
      <c r="R26" s="338"/>
      <c r="S26" s="338"/>
      <c r="T26" s="338"/>
      <c r="U26" s="338"/>
    </row>
    <row r="27" spans="1:21" ht="45">
      <c r="A27" s="62" t="str">
        <f>HLOOKUP($K$6,'RICON_Sprachen_DE_EN-FR'!$A$1:$C$29,18,FALSE)</f>
        <v>RICON® 120/40 
HT: 2xSK8x50, 6xSK5x50
NT: 2xSK8x80, 6xSK5x80</v>
      </c>
      <c r="B27" s="350" t="s">
        <v>863</v>
      </c>
      <c r="C27" s="550">
        <f>IF($B$5='RICON_RICON-S-EK_GIGANT_WALCO '!$V$20,'RICON_RICON-S-EK_GIGANT_WALCO '!B23*2,IF(RICON!$B$5='RICON_RICON-S-EK_GIGANT_WALCO '!$V$21,'RICON_RICON-S-EK_GIGANT_WALCO '!C193,IF($B$5='RICON_RICON-S-EK_GIGANT_WALCO '!$V$22,IF($C$7=1,'RICON_RICON-S-EK_GIGANT_WALCO '!C505,'RICON_RICON-S-EK_GIGANT_WALCO '!C521),'RICON_RICON-S-EK_GIGANT_WALCO '!C766)))</f>
        <v>18</v>
      </c>
      <c r="D27" s="550">
        <f>IF($B$5='RICON_RICON-S-EK_GIGANT_WALCO '!$V$20,'RICON_RICON-S-EK_GIGANT_WALCO '!L23,IF(RICON!$B$5='RICON_RICON-S-EK_GIGANT_WALCO '!$V$21,'RICON_RICON-S-EK_GIGANT_WALCO '!F193,IF($B$5='RICON_RICON-S-EK_GIGANT_WALCO '!$V$22,MIN('RICON_RICON-S-EK_GIGANT_WALCO '!B505,'RICON_RICON-S-EK_GIGANT_WALCO '!E505),MIN('RICON_RICON-S-EK_GIGANT_WALCO '!B766,'RICON_RICON-S-EK_GIGANT_WALCO '!D766))))</f>
        <v>12.753753603734964</v>
      </c>
      <c r="E27" s="546">
        <f t="shared" si="0"/>
        <v>18</v>
      </c>
      <c r="F27" s="81">
        <f t="shared" si="1"/>
        <v>5.8863478171084447</v>
      </c>
      <c r="G27" s="81">
        <f t="shared" si="1"/>
        <v>6.8674057866265183</v>
      </c>
      <c r="H27" s="81">
        <f t="shared" si="1"/>
        <v>7.8484637561445938</v>
      </c>
      <c r="I27" s="81">
        <f t="shared" si="1"/>
        <v>8.8295217256626675</v>
      </c>
      <c r="J27" s="81">
        <f t="shared" si="1"/>
        <v>9.810579695180742</v>
      </c>
      <c r="K27" s="81">
        <f t="shared" si="1"/>
        <v>10.791637664698815</v>
      </c>
      <c r="L27" s="338"/>
      <c r="M27" s="338"/>
      <c r="N27" s="338"/>
      <c r="O27" s="338"/>
      <c r="P27" s="338"/>
      <c r="Q27" s="338"/>
      <c r="R27" s="338"/>
      <c r="S27" s="338"/>
      <c r="T27" s="338"/>
      <c r="U27" s="338"/>
    </row>
    <row r="28" spans="1:21" ht="45">
      <c r="A28" s="62" t="str">
        <f>HLOOKUP($K$6,'RICON_Sprachen_DE_EN-FR'!$A$1:$C$29,19,FALSE)</f>
        <v>RICON® 140/40 
HT: 2xSK8x50, 8xSK5x50
NT: 2xSK8x80, 8xSK5x80</v>
      </c>
      <c r="B28" s="350" t="s">
        <v>864</v>
      </c>
      <c r="C28" s="550">
        <f>IF($B$5='RICON_RICON-S-EK_GIGANT_WALCO '!$V$20,'RICON_RICON-S-EK_GIGANT_WALCO '!B24*2,IF(RICON!$B$5='RICON_RICON-S-EK_GIGANT_WALCO '!$V$21,'RICON_RICON-S-EK_GIGANT_WALCO '!C194,IF($B$5='RICON_RICON-S-EK_GIGANT_WALCO '!$V$22,IF($C$7=1,'RICON_RICON-S-EK_GIGANT_WALCO '!C506,'RICON_RICON-S-EK_GIGANT_WALCO '!C522),'RICON_RICON-S-EK_GIGANT_WALCO '!C767)))</f>
        <v>18</v>
      </c>
      <c r="D28" s="550">
        <f>IF($B$5='RICON_RICON-S-EK_GIGANT_WALCO '!$V$20,'RICON_RICON-S-EK_GIGANT_WALCO '!L24,IF(RICON!$B$5='RICON_RICON-S-EK_GIGANT_WALCO '!$V$21,'RICON_RICON-S-EK_GIGANT_WALCO '!F194,IF($B$5='RICON_RICON-S-EK_GIGANT_WALCO '!$V$22,MIN('RICON_RICON-S-EK_GIGANT_WALCO '!B506,'RICON_RICON-S-EK_GIGANT_WALCO '!E506),MIN('RICON_RICON-S-EK_GIGANT_WALCO '!B767,'RICON_RICON-S-EK_GIGANT_WALCO '!D767))))</f>
        <v>15.481230012290808</v>
      </c>
      <c r="E28" s="546">
        <f t="shared" si="0"/>
        <v>18</v>
      </c>
      <c r="F28" s="81">
        <f t="shared" si="1"/>
        <v>7.1451830825957581</v>
      </c>
      <c r="G28" s="81">
        <f t="shared" si="1"/>
        <v>8.3360469296950495</v>
      </c>
      <c r="H28" s="81">
        <f t="shared" si="1"/>
        <v>9.5269107767943435</v>
      </c>
      <c r="I28" s="81">
        <f t="shared" si="1"/>
        <v>10.717774623893636</v>
      </c>
      <c r="J28" s="81">
        <f t="shared" si="1"/>
        <v>11.90863847099293</v>
      </c>
      <c r="K28" s="81">
        <f t="shared" si="1"/>
        <v>13.099502318092224</v>
      </c>
      <c r="L28" s="338"/>
      <c r="M28" s="338"/>
      <c r="N28" s="338"/>
      <c r="O28" s="338"/>
      <c r="P28" s="338"/>
      <c r="Q28" s="338"/>
      <c r="R28" s="338"/>
      <c r="S28" s="338"/>
      <c r="T28" s="338"/>
      <c r="U28" s="338"/>
    </row>
    <row r="29" spans="1:21" ht="45.75" thickBot="1">
      <c r="A29" s="283" t="str">
        <f>HLOOKUP($K$6,'RICON_Sprachen_DE_EN-FR'!$A$1:$C$29,20,FALSE)</f>
        <v>RICON® 160/40 
HT: 2xSK8x50, 10xSK5x50
NT: 2xSK8x80, 10xSK5x80</v>
      </c>
      <c r="B29" s="358" t="s">
        <v>865</v>
      </c>
      <c r="C29" s="551">
        <f>IF($B$5='RICON_RICON-S-EK_GIGANT_WALCO '!$V$20,'RICON_RICON-S-EK_GIGANT_WALCO '!B25*2,IF(RICON!$B$5='RICON_RICON-S-EK_GIGANT_WALCO '!$V$21,'RICON_RICON-S-EK_GIGANT_WALCO '!C195,IF($B$5='RICON_RICON-S-EK_GIGANT_WALCO '!$V$22,IF($C$7=1,'RICON_RICON-S-EK_GIGANT_WALCO '!C507,'RICON_RICON-S-EK_GIGANT_WALCO '!C523),'RICON_RICON-S-EK_GIGANT_WALCO '!C768)))</f>
        <v>18</v>
      </c>
      <c r="D29" s="551">
        <f>IF($B$5='RICON_RICON-S-EK_GIGANT_WALCO '!$V$20,'RICON_RICON-S-EK_GIGANT_WALCO '!L25,IF(RICON!$B$5='RICON_RICON-S-EK_GIGANT_WALCO '!$V$21,'RICON_RICON-S-EK_GIGANT_WALCO '!F195,IF($B$5='RICON_RICON-S-EK_GIGANT_WALCO '!$V$22,MIN('RICON_RICON-S-EK_GIGANT_WALCO '!B507,'RICON_RICON-S-EK_GIGANT_WALCO '!E507),MIN('RICON_RICON-S-EK_GIGANT_WALCO '!B768,'RICON_RICON-S-EK_GIGANT_WALCO '!D768))))</f>
        <v>18.208706420846653</v>
      </c>
      <c r="E29" s="549">
        <f t="shared" si="0"/>
        <v>18</v>
      </c>
      <c r="F29" s="235">
        <f t="shared" si="1"/>
        <v>8.4040183480830706</v>
      </c>
      <c r="G29" s="235">
        <f t="shared" si="1"/>
        <v>9.8046880727635806</v>
      </c>
      <c r="H29" s="235">
        <f t="shared" si="1"/>
        <v>11.205357797444094</v>
      </c>
      <c r="I29" s="235">
        <f t="shared" si="1"/>
        <v>12.606027522124606</v>
      </c>
      <c r="J29" s="235">
        <f t="shared" si="1"/>
        <v>14.006697246805118</v>
      </c>
      <c r="K29" s="235">
        <f t="shared" si="1"/>
        <v>15.407366971485631</v>
      </c>
      <c r="L29" s="338"/>
      <c r="M29" s="338"/>
      <c r="N29" s="338"/>
      <c r="O29" s="338"/>
      <c r="P29" s="338"/>
      <c r="Q29" s="338"/>
      <c r="R29" s="338"/>
      <c r="S29" s="338"/>
      <c r="T29" s="338"/>
      <c r="U29" s="338"/>
    </row>
    <row r="30" spans="1:21" ht="45.75" thickTop="1">
      <c r="A30" s="259" t="str">
        <f>HLOOKUP($K$6,'RICON_Sprachen_DE_EN-FR'!$A$1:$C$29,21,FALSE)</f>
        <v>RICON® 100/40 SL
HT: 2xSK8x50, 4xSK5x50
NT: 2xSK8x160, 4xSK5x80</v>
      </c>
      <c r="B30" s="357" t="s">
        <v>862</v>
      </c>
      <c r="C30" s="552">
        <f>IF($B$5='RICON_RICON-S-EK_GIGANT_WALCO '!$V$20,'RICON_RICON-S-EK_GIGANT_WALCO '!B26*2,IF(RICON!$B$5='RICON_RICON-S-EK_GIGANT_WALCO '!$V$21,'RICON_RICON-S-EK_GIGANT_WALCO '!C196,IF($B$5='RICON_RICON-S-EK_GIGANT_WALCO '!$V$22,IF($C$7=1,'RICON_RICON-S-EK_GIGANT_WALCO '!C508,'RICON_RICON-S-EK_GIGANT_WALCO '!C524),'RICON_RICON-S-EK_GIGANT_WALCO '!C769)))</f>
        <v>14</v>
      </c>
      <c r="D30" s="552">
        <f>IF($B$5='RICON_RICON-S-EK_GIGANT_WALCO '!$V$20,'RICON_RICON-S-EK_GIGANT_WALCO '!L26,IF(RICON!$B$5='RICON_RICON-S-EK_GIGANT_WALCO '!$V$21,'RICON_RICON-S-EK_GIGANT_WALCO '!F196,IF($B$5='RICON_RICON-S-EK_GIGANT_WALCO '!$V$22,MIN('RICON_RICON-S-EK_GIGANT_WALCO '!B508,'RICON_RICON-S-EK_GIGANT_WALCO '!E508),MIN('RICON_RICON-S-EK_GIGANT_WALCO '!B769,'RICON_RICON-S-EK_GIGANT_WALCO '!D769))))</f>
        <v>13.866687624227694</v>
      </c>
      <c r="E30" s="548">
        <f t="shared" si="0"/>
        <v>14</v>
      </c>
      <c r="F30" s="236">
        <f t="shared" si="1"/>
        <v>6.4000096727204738</v>
      </c>
      <c r="G30" s="236">
        <f t="shared" si="1"/>
        <v>7.4666779515072186</v>
      </c>
      <c r="H30" s="236">
        <f t="shared" si="1"/>
        <v>8.5333462302939669</v>
      </c>
      <c r="I30" s="236">
        <f t="shared" si="1"/>
        <v>9.6000145090807116</v>
      </c>
      <c r="J30" s="236">
        <f t="shared" si="1"/>
        <v>10.666682787867456</v>
      </c>
      <c r="K30" s="236">
        <f t="shared" si="1"/>
        <v>11.733351066654203</v>
      </c>
      <c r="L30" s="338"/>
      <c r="M30" s="338"/>
      <c r="N30" s="338"/>
      <c r="O30" s="338"/>
      <c r="P30" s="338"/>
      <c r="Q30" s="338"/>
      <c r="R30" s="338"/>
      <c r="S30" s="338"/>
      <c r="T30" s="338"/>
      <c r="U30" s="338"/>
    </row>
    <row r="31" spans="1:21" ht="45">
      <c r="A31" s="62" t="str">
        <f>HLOOKUP($K$6,'RICON_Sprachen_DE_EN-FR'!$A$1:$C$29,22,FALSE)</f>
        <v>RICON® 120/40 SL
HT: 2xSK8x50, 6xSK5x50
NT: 2xSK8x160, 6xSK5x80</v>
      </c>
      <c r="B31" s="357" t="s">
        <v>863</v>
      </c>
      <c r="C31" s="550">
        <f>IF($B$5='RICON_RICON-S-EK_GIGANT_WALCO '!$V$20,'RICON_RICON-S-EK_GIGANT_WALCO '!B27*2,IF(RICON!$B$5='RICON_RICON-S-EK_GIGANT_WALCO '!$V$21,'RICON_RICON-S-EK_GIGANT_WALCO '!C197,IF($B$5='RICON_RICON-S-EK_GIGANT_WALCO '!$V$22,IF($C$7=1,'RICON_RICON-S-EK_GIGANT_WALCO '!C509,'RICON_RICON-S-EK_GIGANT_WALCO '!C525),'RICON_RICON-S-EK_GIGANT_WALCO '!C770)))</f>
        <v>18</v>
      </c>
      <c r="D31" s="550">
        <f>IF($B$5='RICON_RICON-S-EK_GIGANT_WALCO '!$V$20,'RICON_RICON-S-EK_GIGANT_WALCO '!L27,IF(RICON!$B$5='RICON_RICON-S-EK_GIGANT_WALCO '!$V$21,'RICON_RICON-S-EK_GIGANT_WALCO '!F197,IF($B$5='RICON_RICON-S-EK_GIGANT_WALCO '!$V$22,MIN('RICON_RICON-S-EK_GIGANT_WALCO '!B509,'RICON_RICON-S-EK_GIGANT_WALCO '!E509),MIN('RICON_RICON-S-EK_GIGANT_WALCO '!B770,'RICON_RICON-S-EK_GIGANT_WALCO '!D770))))</f>
        <v>16.594164032783539</v>
      </c>
      <c r="E31" s="546">
        <f t="shared" si="0"/>
        <v>18</v>
      </c>
      <c r="F31" s="81">
        <f t="shared" si="1"/>
        <v>7.6588449382077863</v>
      </c>
      <c r="G31" s="81">
        <f t="shared" si="1"/>
        <v>8.9353190945757497</v>
      </c>
      <c r="H31" s="81">
        <f t="shared" si="1"/>
        <v>10.211793250943717</v>
      </c>
      <c r="I31" s="81">
        <f t="shared" si="1"/>
        <v>11.48826740731168</v>
      </c>
      <c r="J31" s="81">
        <f t="shared" si="1"/>
        <v>12.764741563679644</v>
      </c>
      <c r="K31" s="81">
        <f t="shared" si="1"/>
        <v>14.041215720047612</v>
      </c>
      <c r="L31" s="338"/>
      <c r="M31" s="338"/>
      <c r="N31" s="338"/>
      <c r="O31" s="338"/>
      <c r="P31" s="338"/>
      <c r="Q31" s="338"/>
      <c r="R31" s="338"/>
      <c r="S31" s="338"/>
      <c r="T31" s="338"/>
      <c r="U31" s="338"/>
    </row>
    <row r="32" spans="1:21" ht="45">
      <c r="A32" s="62" t="str">
        <f>HLOOKUP($K$6,'RICON_Sprachen_DE_EN-FR'!$A$1:$C$29,23,FALSE)</f>
        <v>RICON® 140/40 SL 
HT: 2xSK8x50, 8xSK5x50
NT: 2xSK8x160, 8xSK5x80</v>
      </c>
      <c r="B32" s="350" t="s">
        <v>864</v>
      </c>
      <c r="C32" s="550">
        <f>IF($B$5='RICON_RICON-S-EK_GIGANT_WALCO '!$V$20,'RICON_RICON-S-EK_GIGANT_WALCO '!B28*2,IF(RICON!$B$5='RICON_RICON-S-EK_GIGANT_WALCO '!$V$21,'RICON_RICON-S-EK_GIGANT_WALCO '!C198,IF($B$5='RICON_RICON-S-EK_GIGANT_WALCO '!$V$22,IF($C$7=1,'RICON_RICON-S-EK_GIGANT_WALCO '!C510,'RICON_RICON-S-EK_GIGANT_WALCO '!C526),'RICON_RICON-S-EK_GIGANT_WALCO '!C771)))</f>
        <v>18</v>
      </c>
      <c r="D32" s="550">
        <f>IF($B$5='RICON_RICON-S-EK_GIGANT_WALCO '!$V$20,'RICON_RICON-S-EK_GIGANT_WALCO '!L28,IF(RICON!$B$5='RICON_RICON-S-EK_GIGANT_WALCO '!$V$21,'RICON_RICON-S-EK_GIGANT_WALCO '!F198,IF($B$5='RICON_RICON-S-EK_GIGANT_WALCO '!$V$22,MIN('RICON_RICON-S-EK_GIGANT_WALCO '!B510,'RICON_RICON-S-EK_GIGANT_WALCO '!E510),MIN('RICON_RICON-S-EK_GIGANT_WALCO '!B771,'RICON_RICON-S-EK_GIGANT_WALCO '!D771))))</f>
        <v>19.321640441339383</v>
      </c>
      <c r="E32" s="546">
        <f t="shared" si="0"/>
        <v>18</v>
      </c>
      <c r="F32" s="81">
        <f t="shared" si="1"/>
        <v>8.9176802036950988</v>
      </c>
      <c r="G32" s="81">
        <f t="shared" si="1"/>
        <v>10.403960237644283</v>
      </c>
      <c r="H32" s="81">
        <f t="shared" si="1"/>
        <v>11.890240271593468</v>
      </c>
      <c r="I32" s="81">
        <f t="shared" si="1"/>
        <v>13.37652030554265</v>
      </c>
      <c r="J32" s="81">
        <f t="shared" si="1"/>
        <v>14.862800339491832</v>
      </c>
      <c r="K32" s="81">
        <f t="shared" si="1"/>
        <v>16.349080373441019</v>
      </c>
      <c r="L32" s="338"/>
      <c r="M32" s="338"/>
      <c r="N32" s="338"/>
      <c r="O32" s="338"/>
      <c r="P32" s="338"/>
      <c r="Q32" s="338"/>
      <c r="R32" s="338"/>
      <c r="S32" s="338"/>
      <c r="T32" s="338"/>
      <c r="U32" s="338"/>
    </row>
    <row r="33" spans="1:21" ht="48.75" customHeight="1" thickBot="1">
      <c r="A33" s="283" t="str">
        <f>HLOOKUP($K$6,'RICON_Sprachen_DE_EN-FR'!$A$1:$C$29,24,FALSE)</f>
        <v>RICON 160/40 SL 
HT: 2xSK8x50, 10xSK5x50
NT: 2xSK8x160, 10xSK5x80</v>
      </c>
      <c r="B33" s="358" t="s">
        <v>451</v>
      </c>
      <c r="C33" s="551">
        <f>IF($B$5='RICON_RICON-S-EK_GIGANT_WALCO '!$V$20,'RICON_RICON-S-EK_GIGANT_WALCO '!B29*2,IF(RICON!$B$5='RICON_RICON-S-EK_GIGANT_WALCO '!$V$21,'RICON_RICON-S-EK_GIGANT_WALCO '!C199,IF($B$5='RICON_RICON-S-EK_GIGANT_WALCO '!$V$22,IF($C$7=1,'RICON_RICON-S-EK_GIGANT_WALCO '!C511,'RICON_RICON-S-EK_GIGANT_WALCO '!C527),'RICON_RICON-S-EK_GIGANT_WALCO '!C772)))</f>
        <v>18</v>
      </c>
      <c r="D33" s="551">
        <f>IF($B$5='RICON_RICON-S-EK_GIGANT_WALCO '!$V$20,'RICON_RICON-S-EK_GIGANT_WALCO '!L29,IF(RICON!$B$5='RICON_RICON-S-EK_GIGANT_WALCO '!$V$21,'RICON_RICON-S-EK_GIGANT_WALCO '!F199,IF($B$5='RICON_RICON-S-EK_GIGANT_WALCO '!$V$22,MIN('RICON_RICON-S-EK_GIGANT_WALCO '!B511,'RICON_RICON-S-EK_GIGANT_WALCO '!E511),MIN('RICON_RICON-S-EK_GIGANT_WALCO '!B772,'RICON_RICON-S-EK_GIGANT_WALCO '!D772))))</f>
        <v>22.049116849895228</v>
      </c>
      <c r="E33" s="549">
        <f t="shared" si="0"/>
        <v>18</v>
      </c>
      <c r="F33" s="235">
        <f t="shared" si="1"/>
        <v>10.176515469182412</v>
      </c>
      <c r="G33" s="235">
        <f t="shared" si="1"/>
        <v>11.872601380712814</v>
      </c>
      <c r="H33" s="235">
        <f t="shared" si="1"/>
        <v>13.568687292243217</v>
      </c>
      <c r="I33" s="235">
        <f t="shared" si="1"/>
        <v>15.264773203773618</v>
      </c>
      <c r="J33" s="235">
        <f t="shared" si="1"/>
        <v>16.960859115304022</v>
      </c>
      <c r="K33" s="235">
        <f t="shared" si="1"/>
        <v>18</v>
      </c>
      <c r="L33" s="338"/>
      <c r="M33" s="338"/>
      <c r="N33" s="338"/>
      <c r="O33" s="338"/>
      <c r="P33" s="338"/>
      <c r="Q33" s="338"/>
      <c r="R33" s="338"/>
      <c r="S33" s="338"/>
      <c r="T33" s="338"/>
      <c r="U33" s="338"/>
    </row>
    <row r="34" spans="1:21" ht="45.75" thickTop="1">
      <c r="A34" s="259" t="str">
        <f>HLOOKUP($K$6,'RICON_Sprachen_DE_EN-FR'!$A$1:$C$29,26,FALSE)</f>
        <v>Doppel RICON® 100/40 *
HT: 3x8x50, 8xSK5x50
NT: 3xSK8x80, 8xSK5x80</v>
      </c>
      <c r="B34" s="357" t="s">
        <v>451</v>
      </c>
      <c r="C34" s="552">
        <f>IF($B$5='RICON_RICON-S-EK_GIGANT_WALCO '!$V$20,'RICON_RICON-S-EK_GIGANT_WALCO '!B30*2,IF(RICON!$B$5='RICON_RICON-S-EK_GIGANT_WALCO '!$V$21,'RICON_RICON-S-EK_GIGANT_WALCO '!C200,IF($B$5='RICON_RICON-S-EK_GIGANT_WALCO '!$V$22,IF($C$7=1,'RICON_RICON-S-EK_GIGANT_WALCO '!C512,'RICON_RICON-S-EK_GIGANT_WALCO '!C528),'RICON_RICON-S-EK_GIGANT_WALCO '!C773)))</f>
        <v>11</v>
      </c>
      <c r="D34" s="552">
        <f>IF($B$5='RICON_RICON-S-EK_GIGANT_WALCO '!$V$20,'RICON_RICON-S-EK_GIGANT_WALCO '!L30,IF(RICON!$B$5='RICON_RICON-S-EK_GIGANT_WALCO '!$V$21,'RICON_RICON-S-EK_GIGANT_WALCO '!F200,IF($B$5='RICON_RICON-S-EK_GIGANT_WALCO '!$V$22,MIN('RICON_RICON-S-EK_GIGANT_WALCO '!B512,'RICON_RICON-S-EK_GIGANT_WALCO '!E512),MIN('RICON_RICON-S-EK_GIGANT_WALCO '!B773,'RICON_RICON-S-EK_GIGANT_WALCO '!D773))))</f>
        <v>12.311939384212835</v>
      </c>
      <c r="E34" s="548">
        <f t="shared" si="0"/>
        <v>11</v>
      </c>
      <c r="F34" s="236">
        <f t="shared" si="1"/>
        <v>5.6824335619443849</v>
      </c>
      <c r="G34" s="236">
        <f t="shared" si="1"/>
        <v>6.6295058222684489</v>
      </c>
      <c r="H34" s="236">
        <f t="shared" si="1"/>
        <v>7.5765780825925138</v>
      </c>
      <c r="I34" s="236">
        <f t="shared" si="1"/>
        <v>8.5236503429165786</v>
      </c>
      <c r="J34" s="236">
        <f t="shared" si="1"/>
        <v>9.4707226032406417</v>
      </c>
      <c r="K34" s="236">
        <f t="shared" si="1"/>
        <v>10.417794863564707</v>
      </c>
      <c r="L34" s="338"/>
      <c r="M34" s="338"/>
      <c r="N34" s="338"/>
      <c r="O34" s="338"/>
      <c r="P34" s="338"/>
      <c r="Q34" s="338"/>
      <c r="R34" s="338"/>
      <c r="S34" s="338"/>
      <c r="T34" s="338"/>
      <c r="U34" s="338"/>
    </row>
    <row r="35" spans="1:21" ht="45">
      <c r="A35" s="62" t="str">
        <f>HLOOKUP($K$6,'RICON_Sprachen_DE_EN-FR'!$A$1:$C$29,26,FALSE)</f>
        <v>Doppel RICON® 100/40 *
HT: 3x8x50, 8xSK5x50
NT: 3xSK8x80, 8xSK5x80</v>
      </c>
      <c r="B35" s="350" t="s">
        <v>866</v>
      </c>
      <c r="C35" s="550">
        <f>IF($B$5='RICON_RICON-S-EK_GIGANT_WALCO '!$V$20,'RICON_RICON-S-EK_GIGANT_WALCO '!B31*2,IF(RICON!$B$5='RICON_RICON-S-EK_GIGANT_WALCO '!$V$21,'RICON_RICON-S-EK_GIGANT_WALCO '!C201,IF($B$5='RICON_RICON-S-EK_GIGANT_WALCO '!$V$22,IF($C$7=1,'RICON_RICON-S-EK_GIGANT_WALCO '!C513,'RICON_RICON-S-EK_GIGANT_WALCO '!C529),'RICON_RICON-S-EK_GIGANT_WALCO '!C774)))</f>
        <v>14</v>
      </c>
      <c r="D35" s="550">
        <f>IF($B$5='RICON_RICON-S-EK_GIGANT_WALCO '!$V$20,'RICON_RICON-S-EK_GIGANT_WALCO '!L31,IF(RICON!$B$5='RICON_RICON-S-EK_GIGANT_WALCO '!$V$21,'RICON_RICON-S-EK_GIGANT_WALCO '!F201,IF($B$5='RICON_RICON-S-EK_GIGANT_WALCO '!$V$22,MIN('RICON_RICON-S-EK_GIGANT_WALCO '!B513,'RICON_RICON-S-EK_GIGANT_WALCO '!E513),MIN('RICON_RICON-S-EK_GIGANT_WALCO '!B774,'RICON_RICON-S-EK_GIGANT_WALCO '!D774))))</f>
        <v>17.766892201324524</v>
      </c>
      <c r="E35" s="546">
        <f t="shared" si="0"/>
        <v>14</v>
      </c>
      <c r="F35" s="81">
        <f t="shared" si="1"/>
        <v>8.2001040929190108</v>
      </c>
      <c r="G35" s="81">
        <f t="shared" si="1"/>
        <v>9.5667881084055111</v>
      </c>
      <c r="H35" s="81">
        <f t="shared" si="1"/>
        <v>10.933472123892015</v>
      </c>
      <c r="I35" s="81">
        <f t="shared" si="1"/>
        <v>12.300156139378517</v>
      </c>
      <c r="J35" s="81">
        <f t="shared" si="1"/>
        <v>13.666840154865017</v>
      </c>
      <c r="K35" s="81">
        <f t="shared" si="1"/>
        <v>14</v>
      </c>
      <c r="L35" s="338"/>
      <c r="M35" s="338"/>
      <c r="N35" s="338"/>
      <c r="O35" s="338"/>
      <c r="P35" s="338"/>
      <c r="Q35" s="338"/>
      <c r="R35" s="338"/>
      <c r="S35" s="338"/>
      <c r="T35" s="338"/>
      <c r="U35" s="338"/>
    </row>
    <row r="36" spans="1:21" ht="45">
      <c r="A36" s="62" t="str">
        <f>HLOOKUP($K$6,'RICON_Sprachen_DE_EN-FR'!$A$1:$C$29,27,FALSE)</f>
        <v>Doppel RICON® 120/40 *
HT: 3x8x50, 12xSK5x50
NT: 3xSK8x80, 12xSK5x80</v>
      </c>
      <c r="B36" s="350" t="s">
        <v>453</v>
      </c>
      <c r="C36" s="550">
        <f>IF($B$5='RICON_RICON-S-EK_GIGANT_WALCO '!$V$20,'RICON_RICON-S-EK_GIGANT_WALCO '!B32*2,IF(RICON!$B$5='RICON_RICON-S-EK_GIGANT_WALCO '!$V$21,'RICON_RICON-S-EK_GIGANT_WALCO '!C202,IF($B$5='RICON_RICON-S-EK_GIGANT_WALCO '!$V$22,IF($C$7=1,'RICON_RICON-S-EK_GIGANT_WALCO '!C514,'RICON_RICON-S-EK_GIGANT_WALCO '!C530),'RICON_RICON-S-EK_GIGANT_WALCO '!C775)))</f>
        <v>18</v>
      </c>
      <c r="D36" s="550">
        <f>IF($B$5='RICON_RICON-S-EK_GIGANT_WALCO '!$V$20,'RICON_RICON-S-EK_GIGANT_WALCO '!L32,IF(RICON!$B$5='RICON_RICON-S-EK_GIGANT_WALCO '!$V$21,'RICON_RICON-S-EK_GIGANT_WALCO '!F202,IF($B$5='RICON_RICON-S-EK_GIGANT_WALCO '!$V$22,MIN('RICON_RICON-S-EK_GIGANT_WALCO '!B514,'RICON_RICON-S-EK_GIGANT_WALCO '!E514),MIN('RICON_RICON-S-EK_GIGANT_WALCO '!B775,'RICON_RICON-S-EK_GIGANT_WALCO '!D775))))</f>
        <v>23.221845018436213</v>
      </c>
      <c r="E36" s="546">
        <f t="shared" si="0"/>
        <v>18</v>
      </c>
      <c r="F36" s="81">
        <f t="shared" si="1"/>
        <v>10.717774623893636</v>
      </c>
      <c r="G36" s="81">
        <f t="shared" si="1"/>
        <v>12.504070394542575</v>
      </c>
      <c r="H36" s="81">
        <f t="shared" si="1"/>
        <v>14.290366165191516</v>
      </c>
      <c r="I36" s="81">
        <f t="shared" si="1"/>
        <v>16.076661935840455</v>
      </c>
      <c r="J36" s="81">
        <f t="shared" si="1"/>
        <v>17.862957706489393</v>
      </c>
      <c r="K36" s="81">
        <f t="shared" si="1"/>
        <v>18</v>
      </c>
      <c r="L36" s="338"/>
      <c r="M36" s="338"/>
      <c r="N36" s="338"/>
      <c r="O36" s="338"/>
      <c r="P36" s="338"/>
      <c r="Q36" s="338"/>
      <c r="R36" s="338"/>
      <c r="S36" s="338"/>
      <c r="T36" s="338"/>
      <c r="U36" s="338"/>
    </row>
    <row r="37" spans="1:21" ht="45">
      <c r="A37" s="62" t="str">
        <f>HLOOKUP($K$6,'RICON_Sprachen_DE_EN-FR'!$A$1:$C$29,28,FALSE)</f>
        <v>Doppel RICON® 140/40 *
HT: 3x8x50, 16xSK5x50
NT: 3xSK8x80, 16xSK5x80</v>
      </c>
      <c r="B37" s="350" t="s">
        <v>867</v>
      </c>
      <c r="C37" s="550">
        <f>IF($B$5='RICON_RICON-S-EK_GIGANT_WALCO '!$V$20,'RICON_RICON-S-EK_GIGANT_WALCO '!B33*2,IF(RICON!$B$5='RICON_RICON-S-EK_GIGANT_WALCO '!$V$21,'RICON_RICON-S-EK_GIGANT_WALCO '!C203,IF($B$5='RICON_RICON-S-EK_GIGANT_WALCO '!$V$22,IF($C$7=1,'RICON_RICON-S-EK_GIGANT_WALCO '!C515,'RICON_RICON-S-EK_GIGANT_WALCO '!C531),'RICON_RICON-S-EK_GIGANT_WALCO '!C776)))</f>
        <v>18</v>
      </c>
      <c r="D37" s="550">
        <f>IF($B$5='RICON_RICON-S-EK_GIGANT_WALCO '!$V$20,'RICON_RICON-S-EK_GIGANT_WALCO '!L33,IF(RICON!$B$5='RICON_RICON-S-EK_GIGANT_WALCO '!$V$21,'RICON_RICON-S-EK_GIGANT_WALCO '!F203,IF($B$5='RICON_RICON-S-EK_GIGANT_WALCO '!$V$22,MIN('RICON_RICON-S-EK_GIGANT_WALCO '!B515,'RICON_RICON-S-EK_GIGANT_WALCO '!E515),MIN('RICON_RICON-S-EK_GIGANT_WALCO '!B776,'RICON_RICON-S-EK_GIGANT_WALCO '!D776))))</f>
        <v>28.676797835547902</v>
      </c>
      <c r="E37" s="546">
        <f t="shared" si="0"/>
        <v>18</v>
      </c>
      <c r="F37" s="81">
        <f t="shared" si="1"/>
        <v>13.235445154868261</v>
      </c>
      <c r="G37" s="81">
        <f t="shared" si="1"/>
        <v>15.441352680679639</v>
      </c>
      <c r="H37" s="81">
        <f t="shared" si="1"/>
        <v>17.647260206491016</v>
      </c>
      <c r="I37" s="81">
        <f t="shared" si="1"/>
        <v>18</v>
      </c>
      <c r="J37" s="81">
        <f t="shared" si="1"/>
        <v>18</v>
      </c>
      <c r="K37" s="81">
        <f t="shared" si="1"/>
        <v>18</v>
      </c>
      <c r="L37" s="338"/>
      <c r="M37" s="338"/>
      <c r="N37" s="338"/>
      <c r="O37" s="338"/>
      <c r="P37" s="338"/>
      <c r="Q37" s="338"/>
      <c r="R37" s="338"/>
      <c r="S37" s="338"/>
      <c r="T37" s="338"/>
      <c r="U37" s="338"/>
    </row>
    <row r="38" spans="1:21" ht="45">
      <c r="A38" s="62" t="str">
        <f>HLOOKUP($K$6,'RICON_Sprachen_DE_EN-FR'!$A$1:$C$29,29,FALSE)</f>
        <v>Doppel RICON® 160/40 *
HT: 3x8x50, 20xSK5x50
NT: 3xSK8x80, 20xSK5x80</v>
      </c>
      <c r="B38" s="350" t="s">
        <v>868</v>
      </c>
      <c r="C38" s="550">
        <f>IF($B$5='RICON_RICON-S-EK_GIGANT_WALCO '!$V$20,'RICON_RICON-S-EK_GIGANT_WALCO '!B34*2,IF(RICON!$B$5='RICON_RICON-S-EK_GIGANT_WALCO '!$V$21,'RICON_RICON-S-EK_GIGANT_WALCO '!C204,IF($B$5='RICON_RICON-S-EK_GIGANT_WALCO '!$V$22,IF($C$7=1,'RICON_RICON-S-EK_GIGANT_WALCO '!C516,'RICON_RICON-S-EK_GIGANT_WALCO '!C532),'RICON_RICON-S-EK_GIGANT_WALCO '!C777)))</f>
        <v>18</v>
      </c>
      <c r="D38" s="550">
        <f>IF($B$5='RICON_RICON-S-EK_GIGANT_WALCO '!$V$20,'RICON_RICON-S-EK_GIGANT_WALCO '!L34,IF(RICON!$B$5='RICON_RICON-S-EK_GIGANT_WALCO '!$V$21,'RICON_RICON-S-EK_GIGANT_WALCO '!F204,IF($B$5='RICON_RICON-S-EK_GIGANT_WALCO '!$V$22,MIN('RICON_RICON-S-EK_GIGANT_WALCO '!B516,'RICON_RICON-S-EK_GIGANT_WALCO '!E516),MIN('RICON_RICON-S-EK_GIGANT_WALCO '!B777,'RICON_RICON-S-EK_GIGANT_WALCO '!D777))))</f>
        <v>34.131750652659591</v>
      </c>
      <c r="E38" s="546">
        <f t="shared" si="0"/>
        <v>18</v>
      </c>
      <c r="F38" s="81">
        <f t="shared" si="1"/>
        <v>15.753115685842886</v>
      </c>
      <c r="G38" s="81">
        <f t="shared" si="1"/>
        <v>18</v>
      </c>
      <c r="H38" s="81">
        <f t="shared" si="1"/>
        <v>18</v>
      </c>
      <c r="I38" s="81">
        <f t="shared" si="1"/>
        <v>18</v>
      </c>
      <c r="J38" s="81">
        <f t="shared" si="1"/>
        <v>18</v>
      </c>
      <c r="K38" s="81">
        <f t="shared" si="1"/>
        <v>18</v>
      </c>
      <c r="L38" s="338"/>
      <c r="M38" s="338"/>
      <c r="N38" s="338"/>
      <c r="O38" s="338"/>
      <c r="P38" s="338"/>
      <c r="Q38" s="338"/>
      <c r="R38" s="338"/>
      <c r="S38" s="338"/>
      <c r="T38" s="338"/>
      <c r="U38" s="338"/>
    </row>
    <row r="39" spans="1:21">
      <c r="A39" s="68"/>
      <c r="B39" s="351"/>
      <c r="C39" s="338"/>
      <c r="D39" s="338"/>
      <c r="E39" s="338"/>
      <c r="F39" s="338"/>
      <c r="G39" s="338"/>
      <c r="H39" s="338"/>
      <c r="I39" s="338"/>
      <c r="J39" s="338"/>
      <c r="K39" s="338"/>
      <c r="L39" s="338"/>
      <c r="M39" s="338"/>
      <c r="N39" s="338"/>
      <c r="O39" s="338"/>
      <c r="P39" s="338"/>
      <c r="Q39" s="338"/>
      <c r="R39" s="338"/>
      <c r="S39" s="338"/>
      <c r="T39" s="338"/>
      <c r="U39" s="338"/>
    </row>
    <row r="40" spans="1:21">
      <c r="A40" s="459" t="str">
        <f>HLOOKUP($K$6,'RICON_Sprachen_DE_EN-FR'!$A$1:$C$30,30,FALSE)</f>
        <v>*Doppel RICON®:</v>
      </c>
      <c r="B40" s="782" t="str">
        <f>HLOOKUP($K$6,'RICON_Sprachen_DE_EN-FR'!$A$1:$C$31,31,FALSE)</f>
        <v>Doppel RICON® sind 2 RICON® unter bzw. hintereinander angeordnet (siehe Bild 2)</v>
      </c>
      <c r="C40" s="782"/>
      <c r="D40" s="782"/>
      <c r="E40" s="782"/>
      <c r="F40" s="782"/>
      <c r="G40" s="782"/>
      <c r="H40" s="782"/>
      <c r="I40" s="338"/>
      <c r="J40" s="338"/>
      <c r="K40" s="338"/>
      <c r="L40" s="338"/>
      <c r="M40" s="338"/>
      <c r="N40" s="338"/>
      <c r="O40" s="338"/>
      <c r="P40" s="338"/>
      <c r="Q40" s="338"/>
      <c r="R40" s="338"/>
      <c r="S40" s="338"/>
      <c r="T40" s="338"/>
      <c r="U40" s="338"/>
    </row>
    <row r="41" spans="1:21">
      <c r="A41" s="459"/>
      <c r="B41" s="458"/>
      <c r="C41" s="338"/>
      <c r="D41" s="338"/>
      <c r="E41" s="338"/>
      <c r="F41" s="338"/>
      <c r="G41" s="338"/>
      <c r="H41" s="338"/>
      <c r="I41" s="338"/>
      <c r="J41" s="338"/>
      <c r="K41" s="338"/>
      <c r="L41" s="338"/>
      <c r="M41" s="338"/>
      <c r="N41" s="338"/>
      <c r="O41" s="338"/>
      <c r="P41" s="338"/>
      <c r="Q41" s="338"/>
      <c r="R41" s="338"/>
      <c r="S41" s="338"/>
      <c r="T41" s="338"/>
      <c r="U41" s="338"/>
    </row>
    <row r="42" spans="1:21">
      <c r="A42" s="68"/>
      <c r="B42" s="351"/>
      <c r="C42" s="338"/>
      <c r="D42" s="338"/>
      <c r="E42" s="338"/>
      <c r="F42" s="338"/>
      <c r="G42" s="338"/>
      <c r="H42" s="338"/>
      <c r="I42" s="338"/>
      <c r="L42" s="68"/>
      <c r="M42" s="338"/>
      <c r="N42" s="338"/>
      <c r="O42" s="338"/>
      <c r="P42" s="338"/>
      <c r="Q42" s="338"/>
      <c r="R42" s="338"/>
      <c r="S42" s="338"/>
    </row>
    <row r="43" spans="1:21" ht="18" customHeight="1">
      <c r="A43" s="459" t="str">
        <f>HLOOKUP($K$6,'RICON_Sprachen_DE_EN-FR'!$A$1:$C$32,32,FALSE)</f>
        <v>Berechnung von F2,Rd:</v>
      </c>
      <c r="B43" s="351"/>
      <c r="C43" s="338"/>
      <c r="D43" s="782" t="str">
        <f>HLOOKUP($K$6,'RICON_Sprachen_DE_EN-FR'!$A$1:$C$33,33,FALSE)</f>
        <v xml:space="preserve">** Angegebene Mindestquerschnitte bei denen das Verhältnis a/HN &gt; 0,7 eingehalten werden kann </v>
      </c>
      <c r="E43" s="782"/>
      <c r="F43" s="782"/>
      <c r="G43" s="782"/>
      <c r="H43" s="782"/>
      <c r="I43" s="782"/>
      <c r="L43" s="68"/>
      <c r="M43" s="338"/>
      <c r="N43" s="338"/>
      <c r="O43" s="338"/>
      <c r="P43" s="338"/>
      <c r="Q43" s="338"/>
      <c r="R43" s="338"/>
      <c r="S43" s="338"/>
    </row>
    <row r="44" spans="1:21" ht="15" customHeight="1">
      <c r="B44" s="351"/>
      <c r="C44" s="338"/>
      <c r="D44" s="782" t="str">
        <f>HLOOKUP($K$6,'RICON_Sprachen_DE_EN-FR'!$A$1:$C$34,34,FALSE)</f>
        <v>=&gt; Die Querzugspannung im Nebenträger sind OK</v>
      </c>
      <c r="E44" s="782"/>
      <c r="F44" s="782"/>
      <c r="G44" s="782"/>
      <c r="H44" s="782"/>
      <c r="I44" s="782"/>
      <c r="L44" s="68"/>
      <c r="M44" s="338"/>
      <c r="N44" s="338"/>
      <c r="O44" s="338"/>
      <c r="P44" s="338"/>
      <c r="Q44" s="338"/>
      <c r="R44" s="338"/>
      <c r="S44" s="338"/>
    </row>
    <row r="45" spans="1:21" ht="18" customHeight="1">
      <c r="A45" s="68"/>
      <c r="B45" s="68"/>
      <c r="C45" s="338"/>
      <c r="D45" s="784" t="str">
        <f>HLOOKUP(K6,'RICON_Sprachen_DE_EN-FR'!A1:C35,35,FALSE)</f>
        <v>Wenn das Verhältnis a/HN &lt; 0,7 =&gt;  Querzugspannung im Nebenträger müssen ermittelt werden oder der Nebenträger ist mit sebstbohrenden Vollgewindeschrauben Querzug zu verstärken.</v>
      </c>
      <c r="E45" s="784"/>
      <c r="F45" s="784"/>
      <c r="G45" s="784"/>
      <c r="H45" s="784"/>
      <c r="I45" s="784"/>
      <c r="L45" s="68"/>
      <c r="M45" s="338"/>
      <c r="N45" s="338"/>
      <c r="O45" s="338"/>
      <c r="P45" s="338"/>
      <c r="Q45" s="338"/>
      <c r="R45" s="338"/>
      <c r="S45" s="338"/>
    </row>
    <row r="46" spans="1:21">
      <c r="A46" s="68"/>
      <c r="B46" s="68"/>
      <c r="C46" s="338"/>
      <c r="D46" s="784"/>
      <c r="E46" s="784"/>
      <c r="F46" s="784"/>
      <c r="G46" s="784"/>
      <c r="H46" s="784"/>
      <c r="I46" s="784"/>
      <c r="L46" s="68"/>
      <c r="M46" s="338"/>
      <c r="N46" s="338"/>
      <c r="O46" s="338"/>
      <c r="P46" s="338"/>
      <c r="Q46" s="338"/>
      <c r="R46" s="338"/>
      <c r="S46" s="338"/>
    </row>
    <row r="47" spans="1:21">
      <c r="A47" s="68"/>
      <c r="B47" s="68"/>
      <c r="C47" s="338"/>
      <c r="D47" s="338"/>
      <c r="E47" s="338"/>
      <c r="F47" s="338"/>
      <c r="G47" s="338"/>
      <c r="H47" s="338"/>
      <c r="I47" s="338"/>
      <c r="L47" s="68"/>
      <c r="M47" s="338"/>
      <c r="N47" s="338"/>
      <c r="O47" s="338"/>
      <c r="P47" s="338"/>
      <c r="Q47" s="338"/>
      <c r="R47" s="338"/>
      <c r="S47" s="338"/>
    </row>
    <row r="48" spans="1:21">
      <c r="A48" s="469"/>
      <c r="B48" s="469"/>
      <c r="C48" s="470"/>
      <c r="D48" s="470"/>
      <c r="E48" s="470"/>
      <c r="F48" s="470"/>
      <c r="G48" s="470"/>
      <c r="H48" s="470"/>
      <c r="I48" s="470"/>
      <c r="J48" s="245"/>
      <c r="K48" s="245"/>
      <c r="L48" s="68"/>
      <c r="M48" s="338"/>
      <c r="N48" s="338"/>
      <c r="O48" s="338"/>
      <c r="P48" s="338"/>
      <c r="Q48" s="338"/>
      <c r="R48" s="338"/>
      <c r="S48" s="338"/>
    </row>
    <row r="49" spans="1:21" ht="26.25" customHeight="1">
      <c r="A49" s="758" t="str">
        <f>HLOOKUP($K$6,'RICON_Sprachen_DE_EN-FR'!$A$1:$C$36,36,FALSE)</f>
        <v xml:space="preserve">Belastungstabelle von KNAPP® RICON® Edelstahl nach ETA-10/0189 (Ausgabe 25/08/2022) </v>
      </c>
      <c r="B49" s="758"/>
      <c r="C49" s="758"/>
      <c r="D49" s="758"/>
      <c r="E49" s="758"/>
      <c r="F49" s="758"/>
      <c r="G49" s="758"/>
      <c r="H49" s="758"/>
      <c r="I49" s="758"/>
      <c r="J49" s="758"/>
      <c r="K49" s="758"/>
      <c r="L49" s="68"/>
      <c r="M49" s="338"/>
      <c r="N49" s="338"/>
      <c r="O49" s="338"/>
      <c r="P49" s="338"/>
      <c r="Q49" s="338"/>
      <c r="R49" s="338"/>
      <c r="S49" s="338"/>
    </row>
    <row r="50" spans="1:21" ht="26.25" customHeight="1" thickBot="1">
      <c r="A50" s="759"/>
      <c r="B50" s="759"/>
      <c r="C50" s="759"/>
      <c r="D50" s="759"/>
      <c r="E50" s="759"/>
      <c r="F50" s="759"/>
      <c r="G50" s="759"/>
      <c r="H50" s="759"/>
      <c r="I50" s="759"/>
      <c r="J50" s="759"/>
      <c r="K50" s="759"/>
      <c r="L50" s="68"/>
      <c r="M50" s="338"/>
      <c r="N50" s="338"/>
      <c r="O50" s="338"/>
      <c r="P50" s="338"/>
      <c r="Q50" s="338"/>
      <c r="R50" s="338"/>
      <c r="S50" s="338"/>
    </row>
    <row r="51" spans="1:21" ht="33.75">
      <c r="A51" s="776" t="str">
        <f>HLOOKUP($K$6,'RICON_Sprachen_DE_EN-FR'!$A$1:$C$37,37,FALSE)</f>
        <v>RICON® Edelstahl:</v>
      </c>
      <c r="B51" s="776"/>
      <c r="C51" s="369"/>
      <c r="D51" s="369"/>
      <c r="E51" s="369"/>
      <c r="F51" s="369"/>
      <c r="G51" s="369"/>
      <c r="H51" s="369"/>
      <c r="I51" s="369"/>
      <c r="J51" s="369"/>
      <c r="K51" s="369"/>
      <c r="L51" s="362"/>
      <c r="M51" s="362"/>
      <c r="N51" s="362"/>
      <c r="O51" s="362"/>
      <c r="P51" s="362"/>
      <c r="Q51" s="362"/>
      <c r="R51" s="362"/>
      <c r="S51" s="362"/>
      <c r="U51" s="427"/>
    </row>
    <row r="52" spans="1:21" s="372" customFormat="1" ht="21">
      <c r="A52" s="337" t="str">
        <f>HLOOKUP($K$6,'RICON_Sprachen_DE_EN-FR'!$A$1:$C$4,4,FALSE)</f>
        <v>Belastungswerte:</v>
      </c>
      <c r="B52" s="577" t="s">
        <v>1210</v>
      </c>
      <c r="C52" s="337"/>
      <c r="D52" s="362" t="str">
        <f>HLOOKUP(RICON!$K$6,'RICON_Sprachen_DE_EN-FR'!$A$1:$C$5,5,FALSE)</f>
        <v>Festigkeitsklasse:</v>
      </c>
      <c r="E52" s="400" t="s">
        <v>25</v>
      </c>
      <c r="F52" s="339"/>
      <c r="G52" s="391" t="str">
        <f>VLOOKUP(E52,'RICON_RICON-S-EK_GIGANT_WALCO '!V7:AA18,3,FALSE)</f>
        <v>Brettschichtholz homogen</v>
      </c>
      <c r="H52" s="362"/>
      <c r="I52" s="339"/>
      <c r="L52" s="373"/>
      <c r="M52" s="373"/>
      <c r="N52" s="373"/>
      <c r="O52" s="373"/>
      <c r="P52" s="373"/>
      <c r="Q52" s="373"/>
      <c r="R52" s="373"/>
      <c r="S52" s="373"/>
    </row>
    <row r="53" spans="1:21" s="372" customFormat="1" ht="21">
      <c r="A53" s="772" t="str">
        <f>IF(B52=RICON_Edelstahl!V18,HLOOKUP(RICON!$K$6,RICON_Edelstahl!V17:Y21,2,FALSE),IF(RICON!B52=RICON_Edelstahl!V19,HLOOKUP(RICON!$K$6,RICON_Edelstahl!V17:Y21,3,FALSE),IF(RICON!B52='RICON_RICON-S-EK_GIGANT_WALCO '!V73,HLOOKUP(RICON!$K$6,RICON_Edelstahl!V17:Y21,4,FALSE),HLOOKUP(RICON!$K$6,RICON_Edelstahl!V17:Y21,5,FALSE))))</f>
        <v>In Einschubrichtung</v>
      </c>
      <c r="B53" s="772"/>
      <c r="C53" s="772"/>
      <c r="D53" s="362" t="str">
        <f>HLOOKUP($K$6,'RICON_Sprachen_DE_EN-FR'!$A$1:$C$6,6,FALSE)</f>
        <v>Nutzungsklasse NKL:</v>
      </c>
      <c r="E53" s="400">
        <v>1</v>
      </c>
      <c r="F53" s="339"/>
      <c r="G53" s="391" t="str">
        <f>VLOOKUP(RICON!E53,'RICON_RICON-S-EK_GIGANT_WALCO '!V27:Z29,2,FALSE)</f>
        <v>Innenbereich</v>
      </c>
      <c r="H53" s="339"/>
      <c r="I53" s="339"/>
      <c r="J53" s="339"/>
      <c r="K53" s="339"/>
    </row>
    <row r="54" spans="1:21" s="372" customFormat="1" ht="21">
      <c r="A54" s="771" t="str">
        <f>HLOOKUP(K6,RICON_Edelstahl!V17:Y22,6,FALSE)</f>
        <v>Anzahl der Sperrbügel:</v>
      </c>
      <c r="B54" s="771"/>
      <c r="C54" s="400">
        <v>1</v>
      </c>
      <c r="D54" s="362"/>
      <c r="E54" s="362"/>
      <c r="F54" s="362"/>
      <c r="G54" s="391"/>
      <c r="H54" s="339"/>
      <c r="I54" s="339"/>
      <c r="J54" s="339"/>
      <c r="K54" s="339"/>
    </row>
    <row r="55" spans="1:21" ht="15" customHeight="1">
      <c r="A55" s="336"/>
      <c r="B55" s="336"/>
      <c r="G55" s="416" t="str">
        <f>IF(AND(E52='RICON_RICON-S-EK_GIGANT_WALCO '!V18,RICON!E53=3),HLOOKUP(K6,'RICON_Sprachen_DE_EN-FR'!A1:C81,81,FALSE),"")</f>
        <v/>
      </c>
      <c r="L55" s="336"/>
    </row>
    <row r="56" spans="1:21" s="375" customFormat="1" ht="18" customHeight="1">
      <c r="A56" s="528" t="str">
        <f>HLOOKUP($K$6,'RICON_Sprachen_DE_EN-FR'!$A$1:$C$10,10,FALSE)</f>
        <v>KNAPP® Verbinder</v>
      </c>
      <c r="B56" s="769" t="str">
        <f>HLOOKUP($K$6,'RICON_Sprachen_DE_EN-FR'!$A$1:$C$12,12,FALSE)</f>
        <v>Min. Nebenträgerabmessungen [mm]</v>
      </c>
      <c r="C56" s="768" t="str">
        <f>HLOOKUP($K$6,'RICON_Sprachen_DE_EN-FR'!$A$1:$C$13,13,FALSE)</f>
        <v>Charakteristische Werte [kN]</v>
      </c>
      <c r="D56" s="768"/>
      <c r="E56" s="545" t="str">
        <f>IF(B52=RICON_Edelstahl!V18,"F1,KCC,Rd",IF(B52=RICON_Edelstahl!V19,"F2,KCC,Rd",IF(B52=RICON_Edelstahl!V20,"F3,KCC,Rd","F45,KCC,Rd")))</f>
        <v>F2,KCC,Rd</v>
      </c>
      <c r="F56" s="766" t="str">
        <f>HLOOKUP($K$6,'RICON_Sprachen_DE_EN-FR'!$A$1:$C$14,14,FALSE)</f>
        <v>Bemessungswerte</v>
      </c>
      <c r="G56" s="767"/>
      <c r="H56" s="767"/>
      <c r="I56" s="542" t="str">
        <f>IF(B52=RICON_Edelstahl!V18,"F1,Rd [kN]",IF(B52=RICON_Edelstahl!V19,"F2,Rd [kN]",IF(B52=RICON_Edelstahl!V20,"F3,Rd [kN]","F45,Rd [kN]")))</f>
        <v>F2,Rd [kN]</v>
      </c>
      <c r="J56" s="543" t="str">
        <f>E52</f>
        <v>GL24h</v>
      </c>
      <c r="K56" s="531" t="s">
        <v>1203</v>
      </c>
      <c r="L56" s="368"/>
    </row>
    <row r="57" spans="1:21" s="375" customFormat="1" ht="33.75" customHeight="1">
      <c r="A57" s="534" t="str">
        <f>HLOOKUP(K6,'RICON_Sprachen_DE_EN-FR'!A1:C38,38,FALSE)</f>
        <v>Edelstahl</v>
      </c>
      <c r="B57" s="770"/>
      <c r="C57" s="529" t="str">
        <f>IF(B52=RICON_Edelstahl!V18,"F1,KCC,RK",IF(RICON!B52=RICON_Edelstahl!V19,"F2,KCC,RK",IF(RICON!B52=RICON_Edelstahl!V20,"F3,KCC,RK","F45,KCC,Rk")))</f>
        <v>F2,KCC,RK</v>
      </c>
      <c r="D57" s="544" t="str">
        <f>IF(B52=RICON_Edelstahl!V18,"F1,RK",IF(RICON!B52=RICON_Edelstahl!V19,"F2,RK",IF(RICON!$B$52=RICON_Edelstahl!V20,"F3,RK","F45,Rk")))</f>
        <v>F2,RK</v>
      </c>
      <c r="E57" s="547">
        <f>IF(B52=RICON_Edelstahl!V20,1.25,1)</f>
        <v>1</v>
      </c>
      <c r="F57" s="535">
        <f>IF(OR($E$53=1,$E$53=2),0.6,0.5)</f>
        <v>0.6</v>
      </c>
      <c r="G57" s="535">
        <f>IF(OR($E$53=1,$E$53=2),0.7,0.55)</f>
        <v>0.7</v>
      </c>
      <c r="H57" s="535">
        <f>IF(OR($E$53=1,$E$53=2),0.8,0.65)</f>
        <v>0.8</v>
      </c>
      <c r="I57" s="535">
        <f>IF(OR($E$53=1,$E$53=2),0.9,0.7)</f>
        <v>0.9</v>
      </c>
      <c r="J57" s="535">
        <f>IF(OR($E$53=1,$E$53=2),1,0.8)</f>
        <v>1</v>
      </c>
      <c r="K57" s="535">
        <f>IF(OR($E$53=1,$E$53=2),1.1,0.9)</f>
        <v>1.1000000000000001</v>
      </c>
      <c r="L57" s="428"/>
      <c r="O57" s="429"/>
      <c r="P57" s="429"/>
      <c r="Q57" s="429"/>
      <c r="R57" s="429"/>
      <c r="S57" s="429"/>
    </row>
    <row r="58" spans="1:21" s="375" customFormat="1" ht="38.25">
      <c r="A58" s="818" t="str">
        <f>HLOOKUP($K$6,'RICON_Sprachen_DE_EN-FR'!$A$1:$C$67,39,FALSE)</f>
        <v>RICON 40/40 A2
HT: 4xSK5x50
NT: 4xSK5x80</v>
      </c>
      <c r="B58" s="380" t="s">
        <v>949</v>
      </c>
      <c r="C58" s="556">
        <f>IF(RICON!$B$52=RICON_Edelstahl!$V$18,RICON_Edelstahl!B5*RICON_Edelstahl!E5,IF(RICON!$B$52=RICON_Edelstahl!$V$19,RICON_Edelstahl!C119,IF(RICON!$B$52=RICON_Edelstahl!$V$20,RICON_Edelstahl!$B$158*$C$54,RICON_Edelstahl!C311)))</f>
        <v>5.6</v>
      </c>
      <c r="D58" s="556">
        <f>IF($B$52=RICON_Edelstahl!$V$18,RICON_Edelstahl!L5,IF(RICON!$B$52=RICON_Edelstahl!$V$19,MIN(RICON_Edelstahl!B119,RICON_Edelstahl!E119),IF(RICON!$B$52=RICON_Edelstahl!$V$20,MIN(RICON_Edelstahl!B119,RICON_Edelstahl!E119),MIN(RICON_Edelstahl!B311,RICON_Edelstahl!D311))))</f>
        <v>3.9826489019495162</v>
      </c>
      <c r="E58" s="546">
        <f>C58/$E$57</f>
        <v>5.6</v>
      </c>
      <c r="F58" s="557">
        <f>MIN($E58,$D58*F$57/1.3)</f>
        <v>1.8381456470536228</v>
      </c>
      <c r="G58" s="557">
        <f t="shared" ref="G58:K73" si="2">MIN($E58,$D58*G$57/1.3)</f>
        <v>2.1445032548958931</v>
      </c>
      <c r="H58" s="557">
        <f t="shared" si="2"/>
        <v>2.4508608627381641</v>
      </c>
      <c r="I58" s="557">
        <f t="shared" si="2"/>
        <v>2.7572184705804341</v>
      </c>
      <c r="J58" s="557">
        <f t="shared" si="2"/>
        <v>3.0635760784227046</v>
      </c>
      <c r="K58" s="557">
        <f t="shared" si="2"/>
        <v>3.3699336862649751</v>
      </c>
      <c r="L58" s="428"/>
      <c r="O58" s="429"/>
      <c r="P58" s="429"/>
      <c r="Q58" s="429"/>
      <c r="R58" s="429"/>
      <c r="S58" s="429"/>
    </row>
    <row r="59" spans="1:21" s="375" customFormat="1" ht="38.25" hidden="1">
      <c r="A59" s="379" t="str">
        <f>HLOOKUP($K$6,'RICON_Sprachen_DE_EN-FR'!$A$1:$C$67,40,FALSE)</f>
        <v>RICON 60/40 A2
HT: 1xSK 8x50, 2xSK5x50
NT: 1xSK8x80; 2xSK5x80</v>
      </c>
      <c r="B59" s="380" t="s">
        <v>459</v>
      </c>
      <c r="C59" s="556">
        <f>IF(RICON!$B$52=RICON_Edelstahl!$V$18,RICON_Edelstahl!B6*RICON_Edelstahl!E6,IF(RICON!$B$52=RICON_Edelstahl!$V$19,RICON_Edelstahl!C120,IF(RICON!$B$52=RICON_Edelstahl!$V$20,RICON_Edelstahl!$B$158*$C$54,RICON_Edelstahl!C312)))</f>
        <v>4.5</v>
      </c>
      <c r="D59" s="556">
        <f>IF($B$52=RICON_Edelstahl!$V$18,RICON_Edelstahl!L6,IF(RICON!$B$52=RICON_Edelstahl!$V$19,MIN(RICON_Edelstahl!B120,RICON_Edelstahl!E120),IF(RICON!$B$52=RICON_Edelstahl!$V$20,MIN(RICON_Edelstahl!B120,RICON_Edelstahl!E120),MIN(RICON_Edelstahl!B312,RICON_Edelstahl!D312))))</f>
        <v>5.1804296195027444</v>
      </c>
      <c r="E59" s="546">
        <f t="shared" ref="E59:E86" si="3">C59/$E$57</f>
        <v>4.5</v>
      </c>
      <c r="F59" s="557">
        <f t="shared" ref="F59:K86" si="4">MIN($E59,$D59*F$57/1.3)</f>
        <v>2.3909675166935744</v>
      </c>
      <c r="G59" s="557">
        <f t="shared" si="2"/>
        <v>2.7894621028091695</v>
      </c>
      <c r="H59" s="557">
        <f t="shared" si="2"/>
        <v>3.1879566889247655</v>
      </c>
      <c r="I59" s="557">
        <f t="shared" si="2"/>
        <v>3.5864512750403614</v>
      </c>
      <c r="J59" s="557">
        <f t="shared" si="2"/>
        <v>3.9849458611559569</v>
      </c>
      <c r="K59" s="557">
        <f t="shared" si="2"/>
        <v>4.3834404472715534</v>
      </c>
      <c r="M59" s="424"/>
      <c r="N59" s="424"/>
      <c r="O59" s="424"/>
      <c r="P59" s="424"/>
      <c r="Q59" s="424"/>
      <c r="R59" s="424"/>
      <c r="S59" s="424"/>
    </row>
    <row r="60" spans="1:21" s="375" customFormat="1" ht="38.25">
      <c r="A60" s="379" t="str">
        <f>HLOOKUP($K$6,'RICON_Sprachen_DE_EN-FR'!$A$1:$C$67,41,FALSE)</f>
        <v>RICON® 80/40 A2
HT: 2xSK8x50, 2xSK5x50
NT: 2xSK8x80, 2xSK5x80</v>
      </c>
      <c r="B60" s="380" t="s">
        <v>861</v>
      </c>
      <c r="C60" s="556">
        <f>IF(RICON!$B$52=RICON_Edelstahl!$V$18,RICON_Edelstahl!B7*RICON_Edelstahl!E7,IF(RICON!$B$52=RICON_Edelstahl!$V$19,RICON_Edelstahl!C121,IF(RICON!$B$52=RICON_Edelstahl!$V$20,RICON_Edelstahl!$B$158*$C$54,RICON_Edelstahl!C313)))</f>
        <v>8.1999999999999993</v>
      </c>
      <c r="D60" s="556">
        <f>IF($B$52=RICON_Edelstahl!$V$18,RICON_Edelstahl!L7,IF(RICON!$B$52=RICON_Edelstahl!$V$19,MIN(RICON_Edelstahl!B121,RICON_Edelstahl!E121),IF(RICON!$B$52=RICON_Edelstahl!$V$20,MIN(RICON_Edelstahl!B121,RICON_Edelstahl!E121),MIN(RICON_Edelstahl!B313,RICON_Edelstahl!D313))))</f>
        <v>7.5161100233272613</v>
      </c>
      <c r="E60" s="546">
        <f t="shared" si="3"/>
        <v>8.1999999999999993</v>
      </c>
      <c r="F60" s="557">
        <f t="shared" si="4"/>
        <v>3.4689738569202739</v>
      </c>
      <c r="G60" s="557">
        <f t="shared" si="2"/>
        <v>4.0471361664069869</v>
      </c>
      <c r="H60" s="557">
        <f t="shared" si="2"/>
        <v>4.6252984758936995</v>
      </c>
      <c r="I60" s="557">
        <f t="shared" si="2"/>
        <v>5.203460785380412</v>
      </c>
      <c r="J60" s="557">
        <f t="shared" si="2"/>
        <v>5.7816230948671237</v>
      </c>
      <c r="K60" s="557">
        <f t="shared" si="2"/>
        <v>6.3597854043538362</v>
      </c>
      <c r="L60" s="424"/>
      <c r="M60" s="424"/>
      <c r="N60" s="424"/>
      <c r="O60" s="424"/>
      <c r="P60" s="424"/>
      <c r="Q60" s="424"/>
      <c r="R60" s="424"/>
      <c r="S60" s="424"/>
    </row>
    <row r="61" spans="1:21" s="375" customFormat="1" ht="38.25" hidden="1">
      <c r="A61" s="379" t="str">
        <f>HLOOKUP($K$6,'RICON_Sprachen_DE_EN-FR'!$A$1:$C$67,42,FALSE)</f>
        <v>RICON 100/40 A2
HT: 2xSK 8x50, 4xSK5x50
NT: 2xSK8x80; 4xSK5x80</v>
      </c>
      <c r="B61" s="380" t="s">
        <v>862</v>
      </c>
      <c r="C61" s="556">
        <f>IF(RICON!$B$52=RICON_Edelstahl!$V$18,RICON_Edelstahl!B8*RICON_Edelstahl!E8,IF(RICON!$B$52=RICON_Edelstahl!$V$19,RICON_Edelstahl!C122,IF(RICON!$B$52=RICON_Edelstahl!$V$20,RICON_Edelstahl!$B$158*$C$54,RICON_Edelstahl!C314)))</f>
        <v>10.4</v>
      </c>
      <c r="D61" s="556">
        <f>IF($B$52=RICON_Edelstahl!$V$18,RICON_Edelstahl!L8,IF(RICON!$B$52=RICON_Edelstahl!$V$19,MIN(RICON_Edelstahl!B122,RICON_Edelstahl!E122),IF(RICON!$B$52=RICON_Edelstahl!$V$20,MIN(RICON_Edelstahl!B122,RICON_Edelstahl!E122),MIN(RICON_Edelstahl!B314,RICON_Edelstahl!D314))))</f>
        <v>10.360859239005489</v>
      </c>
      <c r="E61" s="546">
        <f t="shared" si="3"/>
        <v>10.4</v>
      </c>
      <c r="F61" s="557">
        <f t="shared" si="4"/>
        <v>4.7819350333871489</v>
      </c>
      <c r="G61" s="557">
        <f t="shared" si="2"/>
        <v>5.578924205618339</v>
      </c>
      <c r="H61" s="557">
        <f t="shared" si="2"/>
        <v>6.3759133778495309</v>
      </c>
      <c r="I61" s="557">
        <f t="shared" si="2"/>
        <v>7.1729025500807229</v>
      </c>
      <c r="J61" s="557">
        <f t="shared" si="2"/>
        <v>7.9698917223119139</v>
      </c>
      <c r="K61" s="557">
        <f t="shared" si="2"/>
        <v>8.7668808945431067</v>
      </c>
      <c r="L61" s="424"/>
      <c r="M61" s="424"/>
      <c r="N61" s="424"/>
      <c r="O61" s="424"/>
      <c r="P61" s="424"/>
      <c r="Q61" s="424"/>
      <c r="R61" s="424"/>
      <c r="S61" s="424"/>
    </row>
    <row r="62" spans="1:21" s="375" customFormat="1" ht="38.25" hidden="1">
      <c r="A62" s="379" t="str">
        <f>HLOOKUP($K$6,'RICON_Sprachen_DE_EN-FR'!$A$1:$C$67,43,FALSE)</f>
        <v>RICON 120/40 A2
HT: 2xSK 8x50, 6xSK5x50
NT: 2xSK8x80; 6xSK5x80</v>
      </c>
      <c r="B62" s="380" t="s">
        <v>863</v>
      </c>
      <c r="C62" s="556">
        <f>IF(RICON!$B$52=RICON_Edelstahl!$V$18,RICON_Edelstahl!B9*RICON_Edelstahl!E9,IF(RICON!$B$52=RICON_Edelstahl!$V$19,RICON_Edelstahl!C123,IF(RICON!$B$52=RICON_Edelstahl!$V$20,RICON_Edelstahl!$B$158*$C$54,RICON_Edelstahl!C315)))</f>
        <v>13.4</v>
      </c>
      <c r="D62" s="556">
        <f>IF($B$52=RICON_Edelstahl!$V$18,RICON_Edelstahl!L9,IF(RICON!$B$52=RICON_Edelstahl!$V$19,MIN(RICON_Edelstahl!B123,RICON_Edelstahl!E123),IF(RICON!$B$52=RICON_Edelstahl!$V$20,MIN(RICON_Edelstahl!B123,RICON_Edelstahl!E123),MIN(RICON_Edelstahl!B315,RICON_Edelstahl!D315))))</f>
        <v>13.205608454683714</v>
      </c>
      <c r="E62" s="546">
        <f t="shared" si="3"/>
        <v>13.4</v>
      </c>
      <c r="F62" s="557">
        <f t="shared" si="4"/>
        <v>6.0948962098540216</v>
      </c>
      <c r="G62" s="557">
        <f t="shared" si="2"/>
        <v>7.1107122448296911</v>
      </c>
      <c r="H62" s="557">
        <f t="shared" si="2"/>
        <v>8.1265282798053633</v>
      </c>
      <c r="I62" s="557">
        <f t="shared" si="2"/>
        <v>9.1423443147810328</v>
      </c>
      <c r="J62" s="557">
        <f t="shared" si="2"/>
        <v>10.158160349756702</v>
      </c>
      <c r="K62" s="557">
        <f t="shared" si="2"/>
        <v>11.173976384732375</v>
      </c>
      <c r="L62" s="424"/>
      <c r="M62" s="424"/>
      <c r="N62" s="424"/>
      <c r="O62" s="424"/>
      <c r="P62" s="424"/>
      <c r="Q62" s="424"/>
      <c r="R62" s="424"/>
      <c r="S62" s="424"/>
    </row>
    <row r="63" spans="1:21" s="375" customFormat="1" ht="38.25" hidden="1">
      <c r="A63" s="379" t="str">
        <f>HLOOKUP($K$6,'RICON_Sprachen_DE_EN-FR'!$A$1:$C$67,44,FALSE)</f>
        <v>RICON 140/40 A2
HT: 2xSK 8x50, 8xSK5x50
NT: 2xSK8x80; 8xSK5x80</v>
      </c>
      <c r="B63" s="380" t="s">
        <v>864</v>
      </c>
      <c r="C63" s="556">
        <f>IF(RICON!$B$52=RICON_Edelstahl!$V$18,RICON_Edelstahl!B10*RICON_Edelstahl!E10,IF(RICON!$B$52=RICON_Edelstahl!$V$19,RICON_Edelstahl!C124,IF(RICON!$B$52=RICON_Edelstahl!$V$20,RICON_Edelstahl!$B$158*$C$54,RICON_Edelstahl!C316)))</f>
        <v>13.4</v>
      </c>
      <c r="D63" s="556">
        <f>IF($B$52=RICON_Edelstahl!$V$18,RICON_Edelstahl!L10,IF(RICON!$B$52=RICON_Edelstahl!$V$19,MIN(RICON_Edelstahl!B124,RICON_Edelstahl!E124),IF(RICON!$B$52=RICON_Edelstahl!$V$20,MIN(RICON_Edelstahl!B124,RICON_Edelstahl!E124),MIN(RICON_Edelstahl!B316,RICON_Edelstahl!D316))))</f>
        <v>16.05035767036194</v>
      </c>
      <c r="E63" s="546">
        <f t="shared" si="3"/>
        <v>13.4</v>
      </c>
      <c r="F63" s="557">
        <f t="shared" si="4"/>
        <v>7.4078573863208952</v>
      </c>
      <c r="G63" s="557">
        <f t="shared" si="2"/>
        <v>8.6425002840410432</v>
      </c>
      <c r="H63" s="557">
        <f t="shared" si="2"/>
        <v>9.8771431817611948</v>
      </c>
      <c r="I63" s="557">
        <f t="shared" si="2"/>
        <v>11.111786079481343</v>
      </c>
      <c r="J63" s="557">
        <f t="shared" si="2"/>
        <v>12.346428977201493</v>
      </c>
      <c r="K63" s="557">
        <f t="shared" si="2"/>
        <v>13.4</v>
      </c>
      <c r="L63" s="424"/>
      <c r="M63" s="424"/>
      <c r="N63" s="424"/>
      <c r="O63" s="424"/>
      <c r="P63" s="424"/>
      <c r="Q63" s="424"/>
      <c r="R63" s="424"/>
      <c r="S63" s="424"/>
    </row>
    <row r="64" spans="1:21" s="375" customFormat="1" ht="39" thickBot="1">
      <c r="A64" s="383" t="str">
        <f>HLOOKUP($K$6,'RICON_Sprachen_DE_EN-FR'!$A$1:$C$67,45,FALSE)</f>
        <v>RICON® 160/40 A2
HT: 2xSK8x50, 10xSK5x50
NT: 2xSK8x80, 10xSK5x80</v>
      </c>
      <c r="B64" s="384" t="s">
        <v>865</v>
      </c>
      <c r="C64" s="559">
        <f>IF(RICON!$B$52=RICON_Edelstahl!$V$18,RICON_Edelstahl!B11*RICON_Edelstahl!E11,IF(RICON!$B$52=RICON_Edelstahl!$V$19,RICON_Edelstahl!C125,IF(RICON!$B$52=RICON_Edelstahl!$V$20,RICON_Edelstahl!$B$158*$C$54,RICON_Edelstahl!C317)))</f>
        <v>13.4</v>
      </c>
      <c r="D64" s="572">
        <f>IF($B$52=RICON_Edelstahl!$V$18,RICON_Edelstahl!L11,IF(RICON!$B$52=RICON_Edelstahl!$V$19,MIN(RICON_Edelstahl!B125,RICON_Edelstahl!E125),IF(RICON!$B$52=RICON_Edelstahl!$V$20,MIN(RICON_Edelstahl!B125,RICON_Edelstahl!E125),MIN(RICON_Edelstahl!B317,RICON_Edelstahl!D317))))</f>
        <v>18.895106886040168</v>
      </c>
      <c r="E64" s="549">
        <f t="shared" si="3"/>
        <v>13.4</v>
      </c>
      <c r="F64" s="566">
        <f t="shared" si="4"/>
        <v>8.7208185627877697</v>
      </c>
      <c r="G64" s="567">
        <f t="shared" si="2"/>
        <v>10.174288323252396</v>
      </c>
      <c r="H64" s="567">
        <f t="shared" si="2"/>
        <v>11.627758083717026</v>
      </c>
      <c r="I64" s="567">
        <f t="shared" si="2"/>
        <v>13.081227844181655</v>
      </c>
      <c r="J64" s="567">
        <f t="shared" si="2"/>
        <v>13.4</v>
      </c>
      <c r="K64" s="567">
        <f t="shared" si="2"/>
        <v>13.4</v>
      </c>
      <c r="L64" s="424"/>
      <c r="M64" s="424"/>
      <c r="N64" s="424"/>
      <c r="O64" s="424"/>
      <c r="P64" s="424"/>
      <c r="Q64" s="424"/>
      <c r="R64" s="424"/>
      <c r="S64" s="424"/>
    </row>
    <row r="65" spans="1:19" s="375" customFormat="1" ht="39" thickTop="1">
      <c r="A65" s="387" t="str">
        <f>HLOOKUP($K$6,'RICON_Sprachen_DE_EN-FR'!$A$1:$C$67,46,FALSE)</f>
        <v>Doppel RICON® 80/40 A2 *
HT: 3xSK8x50, 4xSK5x50
NT: 3xSK8x80, 4xSK5x80</v>
      </c>
      <c r="B65" s="390" t="s">
        <v>865</v>
      </c>
      <c r="C65" s="558">
        <f>IF(RICON!$B$52=RICON_Edelstahl!$V$18,RICON_Edelstahl!B12*RICON_Edelstahl!E12,IF(RICON!$B$52=RICON_Edelstahl!$V$19,RICON_Edelstahl!C126,IF(RICON!$B$52=RICON_Edelstahl!$V$20,RICON_Edelstahl!$B$158*$C$54,RICON_Edelstahl!C318)))</f>
        <v>8.1999999999999993</v>
      </c>
      <c r="D65" s="558">
        <f>IF($B$52=RICON_Edelstahl!$V$18,RICON_Edelstahl!L12,IF(RICON!$B$52=RICON_Edelstahl!$V$19,MIN(RICON_Edelstahl!B126,RICON_Edelstahl!E126),IF(RICON!$B$52=RICON_Edelstahl!$V$20,MIN(RICON_Edelstahl!B126,RICON_Edelstahl!E126),MIN(RICON_Edelstahl!B318,RICON_Edelstahl!D318))))</f>
        <v>12.696539642830006</v>
      </c>
      <c r="E65" s="548">
        <f t="shared" si="3"/>
        <v>8.1999999999999993</v>
      </c>
      <c r="F65" s="563">
        <f t="shared" si="4"/>
        <v>5.8599413736138484</v>
      </c>
      <c r="G65" s="563">
        <f t="shared" si="2"/>
        <v>6.8365982692161564</v>
      </c>
      <c r="H65" s="563">
        <f t="shared" si="2"/>
        <v>7.8132551648184654</v>
      </c>
      <c r="I65" s="563">
        <f t="shared" si="2"/>
        <v>8.1999999999999993</v>
      </c>
      <c r="J65" s="563">
        <f t="shared" si="2"/>
        <v>8.1999999999999993</v>
      </c>
      <c r="K65" s="563">
        <f t="shared" si="2"/>
        <v>8.1999999999999993</v>
      </c>
      <c r="L65" s="424"/>
      <c r="M65" s="424"/>
      <c r="N65" s="424"/>
      <c r="O65" s="424"/>
      <c r="P65" s="424"/>
      <c r="Q65" s="424"/>
      <c r="R65" s="424"/>
      <c r="S65" s="424"/>
    </row>
    <row r="66" spans="1:19" s="375" customFormat="1" ht="38.25" hidden="1">
      <c r="A66" s="379" t="str">
        <f>HLOOKUP($K$6,'RICON_Sprachen_DE_EN-FR'!$A$1:$C$67,47,FALSE)</f>
        <v>Doppel RICON 100/40 A2
HT: 3xSK 8x50; 8xSK5x50
NT: 3xSK8x80; 8xSK5x80</v>
      </c>
      <c r="B66" s="380" t="s">
        <v>866</v>
      </c>
      <c r="C66" s="556">
        <f>IF(RICON!$B$52=RICON_Edelstahl!$V$18,RICON_Edelstahl!B13*RICON_Edelstahl!E13,IF(RICON!$B$52=RICON_Edelstahl!$V$19,RICON_Edelstahl!C127,IF(RICON!$B$52=RICON_Edelstahl!$V$20,RICON_Edelstahl!$B$158*$C$54,RICON_Edelstahl!C319)))</f>
        <v>10.4</v>
      </c>
      <c r="D66" s="556">
        <f>IF($B$52=RICON_Edelstahl!$V$18,RICON_Edelstahl!L13,IF(RICON!$B$52=RICON_Edelstahl!$V$19,MIN(RICON_Edelstahl!B127,RICON_Edelstahl!E127),IF(RICON!$B$52=RICON_Edelstahl!$V$20,MIN(RICON_Edelstahl!B127,RICON_Edelstahl!E127),MIN(RICON_Edelstahl!B319,RICON_Edelstahl!D319))))</f>
        <v>18.386038074186459</v>
      </c>
      <c r="E66" s="546">
        <f t="shared" si="3"/>
        <v>10.4</v>
      </c>
      <c r="F66" s="557">
        <f t="shared" si="4"/>
        <v>8.4858637265475956</v>
      </c>
      <c r="G66" s="557">
        <f t="shared" si="2"/>
        <v>9.9001743476388615</v>
      </c>
      <c r="H66" s="557">
        <f t="shared" si="2"/>
        <v>10.4</v>
      </c>
      <c r="I66" s="557">
        <f t="shared" si="2"/>
        <v>10.4</v>
      </c>
      <c r="J66" s="557">
        <f t="shared" si="2"/>
        <v>10.4</v>
      </c>
      <c r="K66" s="557">
        <f t="shared" si="2"/>
        <v>10.4</v>
      </c>
      <c r="L66" s="424"/>
      <c r="M66" s="424"/>
      <c r="N66" s="424"/>
      <c r="O66" s="424"/>
      <c r="P66" s="424"/>
      <c r="Q66" s="424"/>
      <c r="R66" s="424"/>
      <c r="S66" s="424"/>
    </row>
    <row r="67" spans="1:19" s="375" customFormat="1" ht="38.25" hidden="1">
      <c r="A67" s="379" t="str">
        <f>HLOOKUP($K$6,'RICON_Sprachen_DE_EN-FR'!$A$1:$C$67,48,FALSE)</f>
        <v>Doppel RICON 120/40 A2
HT: 3xSK 8x50; 12xSK5x50
NT: 3xSK8x80; 12xSK5x80</v>
      </c>
      <c r="B67" s="380" t="s">
        <v>869</v>
      </c>
      <c r="C67" s="556">
        <f>IF(RICON!$B$52=RICON_Edelstahl!$V$18,RICON_Edelstahl!B14*RICON_Edelstahl!E14,IF(RICON!$B$52=RICON_Edelstahl!$V$19,RICON_Edelstahl!C128,IF(RICON!$B$52=RICON_Edelstahl!$V$20,RICON_Edelstahl!$B$158*$C$54,RICON_Edelstahl!C320)))</f>
        <v>13.4</v>
      </c>
      <c r="D67" s="556">
        <f>IF($B$52=RICON_Edelstahl!$V$18,RICON_Edelstahl!L14,IF(RICON!$B$52=RICON_Edelstahl!$V$19,MIN(RICON_Edelstahl!B128,RICON_Edelstahl!E128),IF(RICON!$B$52=RICON_Edelstahl!$V$20,MIN(RICON_Edelstahl!B128,RICON_Edelstahl!E128),MIN(RICON_Edelstahl!B320,RICON_Edelstahl!D320))))</f>
        <v>24.07553650554291</v>
      </c>
      <c r="E67" s="546">
        <f t="shared" si="3"/>
        <v>13.4</v>
      </c>
      <c r="F67" s="557">
        <f t="shared" si="4"/>
        <v>11.111786079481341</v>
      </c>
      <c r="G67" s="557">
        <f t="shared" si="2"/>
        <v>12.963750426061566</v>
      </c>
      <c r="H67" s="557">
        <f t="shared" si="2"/>
        <v>13.4</v>
      </c>
      <c r="I67" s="557">
        <f t="shared" si="2"/>
        <v>13.4</v>
      </c>
      <c r="J67" s="557">
        <f t="shared" si="2"/>
        <v>13.4</v>
      </c>
      <c r="K67" s="557">
        <f t="shared" si="2"/>
        <v>13.4</v>
      </c>
      <c r="L67" s="424"/>
      <c r="M67" s="424"/>
      <c r="N67" s="424"/>
      <c r="O67" s="424"/>
      <c r="P67" s="424"/>
      <c r="Q67" s="424"/>
      <c r="R67" s="424"/>
      <c r="S67" s="424"/>
    </row>
    <row r="68" spans="1:19" s="375" customFormat="1" ht="38.25" hidden="1">
      <c r="A68" s="379" t="str">
        <f>HLOOKUP($K$6,'RICON_Sprachen_DE_EN-FR'!$A$1:$C$67,49,FALSE)</f>
        <v>Doppel RICON 140/40 A2
HT: 3xSK 8x50; 16xSK5x50
NT: 3xSK8x80; 16xSK5x80</v>
      </c>
      <c r="B68" s="380" t="s">
        <v>867</v>
      </c>
      <c r="C68" s="556">
        <f>IF(RICON!$B$52=RICON_Edelstahl!$V$18,RICON_Edelstahl!B15*RICON_Edelstahl!E15,IF(RICON!$B$52=RICON_Edelstahl!$V$19,RICON_Edelstahl!C129,IF(RICON!$B$52=RICON_Edelstahl!$V$20,RICON_Edelstahl!$B$158*$C$54,RICON_Edelstahl!C321)))</f>
        <v>13.4</v>
      </c>
      <c r="D68" s="556">
        <f>IF($B$52=RICON_Edelstahl!$V$18,RICON_Edelstahl!L15,IF(RICON!$B$52=RICON_Edelstahl!$V$19,MIN(RICON_Edelstahl!B129,RICON_Edelstahl!E129),IF(RICON!$B$52=RICON_Edelstahl!$V$20,MIN(RICON_Edelstahl!B129,RICON_Edelstahl!E129),MIN(RICON_Edelstahl!B321,RICON_Edelstahl!D321))))</f>
        <v>29.765034936899362</v>
      </c>
      <c r="E68" s="546">
        <f t="shared" si="3"/>
        <v>13.4</v>
      </c>
      <c r="F68" s="557">
        <f t="shared" si="4"/>
        <v>13.4</v>
      </c>
      <c r="G68" s="557">
        <f t="shared" si="2"/>
        <v>13.4</v>
      </c>
      <c r="H68" s="557">
        <f t="shared" si="2"/>
        <v>13.4</v>
      </c>
      <c r="I68" s="557">
        <f t="shared" si="2"/>
        <v>13.4</v>
      </c>
      <c r="J68" s="557">
        <f t="shared" si="2"/>
        <v>13.4</v>
      </c>
      <c r="K68" s="557">
        <f t="shared" si="2"/>
        <v>13.4</v>
      </c>
      <c r="L68" s="424"/>
      <c r="M68" s="424"/>
      <c r="N68" s="424"/>
      <c r="O68" s="424"/>
      <c r="P68" s="424"/>
      <c r="Q68" s="424"/>
      <c r="R68" s="424"/>
      <c r="S68" s="424"/>
    </row>
    <row r="69" spans="1:19" s="375" customFormat="1" ht="39" thickBot="1">
      <c r="A69" s="497" t="str">
        <f>HLOOKUP($K$6,'RICON_Sprachen_DE_EN-FR'!$A$1:$C$67,50,FALSE)</f>
        <v>Doppel RICON® 160/40 A2 *
HT: 3xSK8x50, 20xSK5x50
NT: 3xSK8x80, 20xSK5x80</v>
      </c>
      <c r="B69" s="407" t="s">
        <v>868</v>
      </c>
      <c r="C69" s="560">
        <f>IF(RICON!$B$52=RICON_Edelstahl!$V$18,RICON_Edelstahl!B16*RICON_Edelstahl!E16,IF(RICON!$B$52=RICON_Edelstahl!$V$19,RICON_Edelstahl!C130,IF(RICON!$B$52=RICON_Edelstahl!$V$20,RICON_Edelstahl!$B$158*$C$54,RICON_Edelstahl!C322)))</f>
        <v>13.4</v>
      </c>
      <c r="D69" s="571">
        <f>IF($B$52=RICON_Edelstahl!$V$18,RICON_Edelstahl!L16,IF(RICON!$B$52=RICON_Edelstahl!$V$19,MIN(RICON_Edelstahl!B130,RICON_Edelstahl!E130),IF(RICON!$B$52=RICON_Edelstahl!$V$20,MIN(RICON_Edelstahl!B130,RICON_Edelstahl!E130),MIN(RICON_Edelstahl!B322,RICON_Edelstahl!D322))))</f>
        <v>35.454533368255817</v>
      </c>
      <c r="E69" s="561">
        <f t="shared" si="3"/>
        <v>13.4</v>
      </c>
      <c r="F69" s="564">
        <f t="shared" si="4"/>
        <v>13.4</v>
      </c>
      <c r="G69" s="565">
        <f t="shared" si="2"/>
        <v>13.4</v>
      </c>
      <c r="H69" s="565">
        <f t="shared" si="2"/>
        <v>13.4</v>
      </c>
      <c r="I69" s="565">
        <f t="shared" si="2"/>
        <v>13.4</v>
      </c>
      <c r="J69" s="565">
        <f t="shared" si="2"/>
        <v>13.4</v>
      </c>
      <c r="K69" s="565">
        <f t="shared" si="2"/>
        <v>13.4</v>
      </c>
      <c r="L69" s="424"/>
      <c r="M69" s="424"/>
      <c r="N69" s="424"/>
      <c r="O69" s="424"/>
      <c r="P69" s="424"/>
      <c r="Q69" s="424"/>
      <c r="R69" s="424"/>
      <c r="S69" s="424"/>
    </row>
    <row r="70" spans="1:19" s="375" customFormat="1" ht="38.25">
      <c r="A70" s="387" t="str">
        <f>HLOOKUP($K$6,'RICON_Sprachen_DE_EN-FR'!$A$1:$C$67,51,FALSE)</f>
        <v>RICON® 60/30 A2
HT: 1xSK8x50, 2xSK5x50
NT: 1xSK8x80, 2xSK5x80</v>
      </c>
      <c r="B70" s="390" t="s">
        <v>860</v>
      </c>
      <c r="C70" s="558">
        <f>IF(RICON!$B$52=RICON_Edelstahl!$V$18,RICON_Edelstahl!B17*RICON_Edelstahl!E17,IF(RICON!$B$52=RICON_Edelstahl!$V$19,RICON_Edelstahl!C131,IF(RICON!$B$52=RICON_Edelstahl!$V$20,RICON_Edelstahl!$B$159*$C$54,RICON_Edelstahl!C323)))</f>
        <v>4.5</v>
      </c>
      <c r="D70" s="558">
        <f>IF($B$52=RICON_Edelstahl!$V$18,RICON_Edelstahl!L17,IF(RICON!$B$52=RICON_Edelstahl!$V$19,MIN(RICON_Edelstahl!B131,RICON_Edelstahl!E131),IF(RICON!$B$52=RICON_Edelstahl!$V$20,MIN(RICON_Edelstahl!B131,RICON_Edelstahl!E131),MIN(RICON_Edelstahl!B323,RICON_Edelstahl!D323))))</f>
        <v>5.1804296195027444</v>
      </c>
      <c r="E70" s="548">
        <f t="shared" si="3"/>
        <v>4.5</v>
      </c>
      <c r="F70" s="563">
        <f t="shared" si="4"/>
        <v>2.3909675166935744</v>
      </c>
      <c r="G70" s="563">
        <f t="shared" si="2"/>
        <v>2.7894621028091695</v>
      </c>
      <c r="H70" s="563">
        <f t="shared" si="2"/>
        <v>3.1879566889247655</v>
      </c>
      <c r="I70" s="563">
        <f t="shared" si="2"/>
        <v>3.5864512750403614</v>
      </c>
      <c r="J70" s="563">
        <f t="shared" si="2"/>
        <v>3.9849458611559569</v>
      </c>
      <c r="K70" s="563">
        <f t="shared" si="2"/>
        <v>4.3834404472715534</v>
      </c>
      <c r="L70" s="424"/>
      <c r="M70" s="424"/>
      <c r="N70" s="424"/>
      <c r="O70" s="424"/>
      <c r="P70" s="424"/>
      <c r="Q70" s="424"/>
      <c r="R70" s="424"/>
      <c r="S70" s="424"/>
    </row>
    <row r="71" spans="1:19" s="375" customFormat="1" ht="38.25">
      <c r="A71" s="379" t="str">
        <f>HLOOKUP($K$6,'RICON_Sprachen_DE_EN-FR'!$A$1:$C$67,52,FALSE)</f>
        <v>RICON® 80/30 A2
HT: 2xSK8x50, 2xSK5x50
NT: 2xSK8x80, 2xSK5x80</v>
      </c>
      <c r="B71" s="380" t="s">
        <v>870</v>
      </c>
      <c r="C71" s="558">
        <f>IF(RICON!$B$52=RICON_Edelstahl!$V$18,RICON_Edelstahl!B18*RICON_Edelstahl!E18,IF(RICON!$B$52=RICON_Edelstahl!$V$19,RICON_Edelstahl!C132,IF(RICON!$B$52=RICON_Edelstahl!$V$20,RICON_Edelstahl!$B$159*$C$54,RICON_Edelstahl!C324)))</f>
        <v>8.1999999999999993</v>
      </c>
      <c r="D71" s="556">
        <f>IF($B$52=RICON_Edelstahl!$V$18,RICON_Edelstahl!L18,IF(RICON!$B$52=RICON_Edelstahl!$V$19,MIN(RICON_Edelstahl!B132,RICON_Edelstahl!E132),IF(RICON!$B$52=RICON_Edelstahl!$V$20,MIN(RICON_Edelstahl!B132,RICON_Edelstahl!E132),MIN(RICON_Edelstahl!B324,RICON_Edelstahl!D324))))</f>
        <v>7.5161100233272613</v>
      </c>
      <c r="E71" s="546">
        <f t="shared" si="3"/>
        <v>8.1999999999999993</v>
      </c>
      <c r="F71" s="557">
        <f t="shared" si="4"/>
        <v>3.4689738569202739</v>
      </c>
      <c r="G71" s="557">
        <f t="shared" si="2"/>
        <v>4.0471361664069869</v>
      </c>
      <c r="H71" s="557">
        <f t="shared" si="2"/>
        <v>4.6252984758936995</v>
      </c>
      <c r="I71" s="557">
        <f t="shared" si="2"/>
        <v>5.203460785380412</v>
      </c>
      <c r="J71" s="557">
        <f t="shared" si="2"/>
        <v>5.7816230948671237</v>
      </c>
      <c r="K71" s="557">
        <f t="shared" si="2"/>
        <v>6.3597854043538362</v>
      </c>
      <c r="L71" s="424"/>
      <c r="M71" s="424"/>
      <c r="N71" s="424"/>
      <c r="O71" s="424"/>
      <c r="P71" s="424"/>
      <c r="Q71" s="424"/>
      <c r="R71" s="424"/>
      <c r="S71" s="424"/>
    </row>
    <row r="72" spans="1:19" s="375" customFormat="1" ht="38.25">
      <c r="A72" s="379" t="str">
        <f>HLOOKUP($K$6,'RICON_Sprachen_DE_EN-FR'!$A$1:$C$67,53,FALSE)</f>
        <v>RICON® 100/30 A2
HT: 2xSK8x50, 4xSK5x50
NT: 2xSK8x80, 4xSK5x80</v>
      </c>
      <c r="B72" s="380" t="s">
        <v>862</v>
      </c>
      <c r="C72" s="558">
        <f>IF(RICON!$B$52=RICON_Edelstahl!$V$18,RICON_Edelstahl!B19*RICON_Edelstahl!E19,IF(RICON!$B$52=RICON_Edelstahl!$V$19,RICON_Edelstahl!C133,IF(RICON!$B$52=RICON_Edelstahl!$V$20,RICON_Edelstahl!$B$159*$C$54,RICON_Edelstahl!C325)))</f>
        <v>10.4</v>
      </c>
      <c r="D72" s="556">
        <f>IF($B$52=RICON_Edelstahl!$V$18,RICON_Edelstahl!L19,IF(RICON!$B$52=RICON_Edelstahl!$V$19,MIN(RICON_Edelstahl!B133,RICON_Edelstahl!E133),IF(RICON!$B$52=RICON_Edelstahl!$V$20,MIN(RICON_Edelstahl!B133,RICON_Edelstahl!E133),MIN(RICON_Edelstahl!B325,RICON_Edelstahl!D325))))</f>
        <v>10.360859239005489</v>
      </c>
      <c r="E72" s="546">
        <f t="shared" si="3"/>
        <v>10.4</v>
      </c>
      <c r="F72" s="557">
        <f t="shared" si="4"/>
        <v>4.7819350333871489</v>
      </c>
      <c r="G72" s="557">
        <f t="shared" si="2"/>
        <v>5.578924205618339</v>
      </c>
      <c r="H72" s="557">
        <f t="shared" si="2"/>
        <v>6.3759133778495309</v>
      </c>
      <c r="I72" s="557">
        <f t="shared" si="2"/>
        <v>7.1729025500807229</v>
      </c>
      <c r="J72" s="557">
        <f t="shared" si="2"/>
        <v>7.9698917223119139</v>
      </c>
      <c r="K72" s="557">
        <f t="shared" si="2"/>
        <v>8.7668808945431067</v>
      </c>
      <c r="L72" s="424"/>
      <c r="M72" s="424"/>
      <c r="N72" s="424"/>
      <c r="O72" s="424"/>
      <c r="P72" s="424"/>
      <c r="Q72" s="424"/>
      <c r="R72" s="424"/>
      <c r="S72" s="424"/>
    </row>
    <row r="73" spans="1:19" s="375" customFormat="1" ht="38.25">
      <c r="A73" s="379" t="str">
        <f>HLOOKUP($K$6,'RICON_Sprachen_DE_EN-FR'!$A$1:$C$67,54,FALSE)</f>
        <v>RICON® 120/30 A2
HT: 2xSK8x50, 6xSK5x50
NT: 2xSK8x80, 6xSK5x80</v>
      </c>
      <c r="B73" s="380" t="s">
        <v>863</v>
      </c>
      <c r="C73" s="558">
        <f>IF(RICON!$B$52=RICON_Edelstahl!$V$18,RICON_Edelstahl!B20*RICON_Edelstahl!E20,IF(RICON!$B$52=RICON_Edelstahl!$V$19,RICON_Edelstahl!C134,IF(RICON!$B$52=RICON_Edelstahl!$V$20,RICON_Edelstahl!$B$159*$C$54,RICON_Edelstahl!C326)))</f>
        <v>13.4</v>
      </c>
      <c r="D73" s="556">
        <f>IF($B$52=RICON_Edelstahl!$V$18,RICON_Edelstahl!L20,IF(RICON!$B$52=RICON_Edelstahl!$V$19,MIN(RICON_Edelstahl!B134,RICON_Edelstahl!E134),IF(RICON!$B$52=RICON_Edelstahl!$V$20,MIN(RICON_Edelstahl!B134,RICON_Edelstahl!E134),MIN(RICON_Edelstahl!B326,RICON_Edelstahl!D326))))</f>
        <v>13.205608454683714</v>
      </c>
      <c r="E73" s="546">
        <f t="shared" si="3"/>
        <v>13.4</v>
      </c>
      <c r="F73" s="557">
        <f t="shared" si="4"/>
        <v>6.0948962098540216</v>
      </c>
      <c r="G73" s="557">
        <f t="shared" si="2"/>
        <v>7.1107122448296911</v>
      </c>
      <c r="H73" s="557">
        <f t="shared" si="2"/>
        <v>8.1265282798053633</v>
      </c>
      <c r="I73" s="557">
        <f t="shared" si="2"/>
        <v>9.1423443147810328</v>
      </c>
      <c r="J73" s="557">
        <f t="shared" si="2"/>
        <v>10.158160349756702</v>
      </c>
      <c r="K73" s="557">
        <f t="shared" si="2"/>
        <v>11.173976384732375</v>
      </c>
      <c r="L73" s="424"/>
      <c r="M73" s="424"/>
      <c r="N73" s="424"/>
      <c r="O73" s="424"/>
      <c r="P73" s="424"/>
      <c r="Q73" s="424"/>
      <c r="R73" s="424"/>
      <c r="S73" s="424"/>
    </row>
    <row r="74" spans="1:19" s="375" customFormat="1" ht="38.25">
      <c r="A74" s="379" t="str">
        <f>HLOOKUP($K$6,'RICON_Sprachen_DE_EN-FR'!$A$1:$C$67,55,FALSE)</f>
        <v>RICON® 140/30 A2
HT: 2xSK8x50, 8xSK5x50
NT: 2xSK8x80, 8xSK5x80</v>
      </c>
      <c r="B74" s="380" t="s">
        <v>864</v>
      </c>
      <c r="C74" s="558">
        <f>IF(RICON!$B$52=RICON_Edelstahl!$V$18,RICON_Edelstahl!B21*RICON_Edelstahl!E21,IF(RICON!$B$52=RICON_Edelstahl!$V$19,RICON_Edelstahl!C135,IF(RICON!$B$52=RICON_Edelstahl!$V$20,RICON_Edelstahl!$B$159*$C$54,RICON_Edelstahl!C327)))</f>
        <v>13.4</v>
      </c>
      <c r="D74" s="556">
        <f>IF($B$52=RICON_Edelstahl!$V$18,RICON_Edelstahl!L21,IF(RICON!$B$52=RICON_Edelstahl!$V$19,MIN(RICON_Edelstahl!B135,RICON_Edelstahl!E135),IF(RICON!$B$52=RICON_Edelstahl!$V$20,MIN(RICON_Edelstahl!B135,RICON_Edelstahl!E135),MIN(RICON_Edelstahl!B327,RICON_Edelstahl!D327))))</f>
        <v>16.05035767036194</v>
      </c>
      <c r="E74" s="546">
        <f t="shared" si="3"/>
        <v>13.4</v>
      </c>
      <c r="F74" s="557">
        <f t="shared" si="4"/>
        <v>7.4078573863208952</v>
      </c>
      <c r="G74" s="557">
        <f t="shared" si="4"/>
        <v>8.6425002840410432</v>
      </c>
      <c r="H74" s="557">
        <f t="shared" si="4"/>
        <v>9.8771431817611948</v>
      </c>
      <c r="I74" s="557">
        <f t="shared" si="4"/>
        <v>11.111786079481343</v>
      </c>
      <c r="J74" s="557">
        <f t="shared" si="4"/>
        <v>12.346428977201493</v>
      </c>
      <c r="K74" s="557">
        <f t="shared" si="4"/>
        <v>13.4</v>
      </c>
      <c r="L74" s="424"/>
      <c r="M74" s="424"/>
      <c r="N74" s="424"/>
      <c r="O74" s="424"/>
      <c r="P74" s="424"/>
      <c r="Q74" s="424"/>
      <c r="R74" s="424"/>
      <c r="S74" s="424"/>
    </row>
    <row r="75" spans="1:19" s="375" customFormat="1" ht="39" thickBot="1">
      <c r="A75" s="383" t="str">
        <f>HLOOKUP($K$6,'RICON_Sprachen_DE_EN-FR'!$A$1:$C$67,56,FALSE)</f>
        <v>RICON® 160/30 A2
HT: 2xSK8x50, 10xSK5x50
NT: 2xSK8x80, 10xSK5x80</v>
      </c>
      <c r="B75" s="384" t="s">
        <v>865</v>
      </c>
      <c r="C75" s="559">
        <f>IF(RICON!$B$52=RICON_Edelstahl!$V$18,RICON_Edelstahl!B22*RICON_Edelstahl!E22,IF(RICON!$B$52=RICON_Edelstahl!$V$19,RICON_Edelstahl!C136,IF(RICON!$B$52=RICON_Edelstahl!$V$20,RICON_Edelstahl!$B$159*$C$54,RICON_Edelstahl!C328)))</f>
        <v>13.4</v>
      </c>
      <c r="D75" s="572">
        <f>IF($B$52=RICON_Edelstahl!$V$18,RICON_Edelstahl!L22,IF(RICON!$B$52=RICON_Edelstahl!$V$19,MIN(RICON_Edelstahl!B136,RICON_Edelstahl!E136),IF(RICON!$B$52=RICON_Edelstahl!$V$20,MIN(RICON_Edelstahl!B136,RICON_Edelstahl!E136),MIN(RICON_Edelstahl!B328,RICON_Edelstahl!D328))))</f>
        <v>18.895106886040168</v>
      </c>
      <c r="E75" s="549">
        <f t="shared" si="3"/>
        <v>13.4</v>
      </c>
      <c r="F75" s="566">
        <f t="shared" si="4"/>
        <v>8.7208185627877697</v>
      </c>
      <c r="G75" s="567">
        <f t="shared" si="4"/>
        <v>10.174288323252396</v>
      </c>
      <c r="H75" s="567">
        <f t="shared" si="4"/>
        <v>11.627758083717026</v>
      </c>
      <c r="I75" s="567">
        <f t="shared" si="4"/>
        <v>13.081227844181655</v>
      </c>
      <c r="J75" s="567">
        <f t="shared" si="4"/>
        <v>13.4</v>
      </c>
      <c r="K75" s="567">
        <f t="shared" si="4"/>
        <v>13.4</v>
      </c>
      <c r="L75" s="424"/>
      <c r="M75" s="424"/>
      <c r="N75" s="424"/>
      <c r="O75" s="424"/>
      <c r="P75" s="424"/>
      <c r="Q75" s="424"/>
      <c r="R75" s="424"/>
      <c r="S75" s="424"/>
    </row>
    <row r="76" spans="1:19" s="375" customFormat="1" ht="39" thickTop="1">
      <c r="A76" s="387" t="str">
        <f>HLOOKUP($K$6,'RICON_Sprachen_DE_EN-FR'!$A$1:$C$67,57,FALSE)</f>
        <v>Doppel RICON® 80/30 A2 *
HT: 3xSK8x50, 4xSK5x50
NT: 3xSK8x80, 4xSK5x80</v>
      </c>
      <c r="B76" s="390" t="s">
        <v>865</v>
      </c>
      <c r="C76" s="558">
        <f>IF(RICON!$B$52=RICON_Edelstahl!$V$18,RICON_Edelstahl!B23*RICON_Edelstahl!E23,IF(RICON!$B$52=RICON_Edelstahl!$V$19,RICON_Edelstahl!C137,IF(RICON!$B$52=RICON_Edelstahl!$V$20,RICON_Edelstahl!$B$159*$C$54,RICON_Edelstahl!C329)))</f>
        <v>13.4</v>
      </c>
      <c r="D76" s="558">
        <f>IF($B$52=RICON_Edelstahl!$V$18,RICON_Edelstahl!L23,IF(RICON!$B$52=RICON_Edelstahl!$V$19,MIN(RICON_Edelstahl!B137,RICON_Edelstahl!E137),IF(RICON!$B$52=RICON_Edelstahl!$V$20,MIN(RICON_Edelstahl!B137,RICON_Edelstahl!E137),MIN(RICON_Edelstahl!B329,RICON_Edelstahl!D329))))</f>
        <v>12.696539642830006</v>
      </c>
      <c r="E76" s="548">
        <f t="shared" si="3"/>
        <v>13.4</v>
      </c>
      <c r="F76" s="563">
        <f t="shared" si="4"/>
        <v>5.8599413736138484</v>
      </c>
      <c r="G76" s="563">
        <f t="shared" si="4"/>
        <v>6.8365982692161564</v>
      </c>
      <c r="H76" s="563">
        <f t="shared" si="4"/>
        <v>7.8132551648184654</v>
      </c>
      <c r="I76" s="563">
        <f t="shared" si="4"/>
        <v>8.7899120604207734</v>
      </c>
      <c r="J76" s="563">
        <f t="shared" si="4"/>
        <v>9.7665689560230806</v>
      </c>
      <c r="K76" s="563">
        <f t="shared" si="4"/>
        <v>10.74322585162539</v>
      </c>
      <c r="L76" s="424"/>
      <c r="M76" s="424"/>
      <c r="N76" s="424"/>
      <c r="O76" s="424"/>
      <c r="P76" s="424"/>
      <c r="Q76" s="424"/>
      <c r="R76" s="424"/>
      <c r="S76" s="424"/>
    </row>
    <row r="77" spans="1:19" s="375" customFormat="1" ht="38.25">
      <c r="A77" s="379" t="str">
        <f>HLOOKUP($K$6,'RICON_Sprachen_DE_EN-FR'!$A$1:$C$67,58,FALSE)</f>
        <v>Doppel RICON® 100/30 A2 *
HT: 3xSK8x50, 8xSK5x50
NT: 3xSK8x80, 8xSK5x80</v>
      </c>
      <c r="B77" s="380" t="s">
        <v>866</v>
      </c>
      <c r="C77" s="558">
        <f>IF(RICON!$B$52=RICON_Edelstahl!$V$18,RICON_Edelstahl!B24*RICON_Edelstahl!E24,IF(RICON!$B$52=RICON_Edelstahl!$V$19,RICON_Edelstahl!C138,IF(RICON!$B$52=RICON_Edelstahl!$V$20,RICON_Edelstahl!$B$159*$C$54,RICON_Edelstahl!C330)))</f>
        <v>13.4</v>
      </c>
      <c r="D77" s="556">
        <f>IF($B$52=RICON_Edelstahl!$V$18,RICON_Edelstahl!L24,IF(RICON!$B$52=RICON_Edelstahl!$V$19,MIN(RICON_Edelstahl!B138,RICON_Edelstahl!E138),IF(RICON!$B$52=RICON_Edelstahl!$V$20,MIN(RICON_Edelstahl!B138,RICON_Edelstahl!E138),MIN(RICON_Edelstahl!B330,RICON_Edelstahl!D330))))</f>
        <v>18.386038074186459</v>
      </c>
      <c r="E77" s="546">
        <f t="shared" si="3"/>
        <v>13.4</v>
      </c>
      <c r="F77" s="557">
        <f t="shared" si="4"/>
        <v>8.4858637265475956</v>
      </c>
      <c r="G77" s="557">
        <f t="shared" si="4"/>
        <v>9.9001743476388615</v>
      </c>
      <c r="H77" s="557">
        <f t="shared" si="4"/>
        <v>11.314484968730129</v>
      </c>
      <c r="I77" s="557">
        <f t="shared" si="4"/>
        <v>12.728795589821393</v>
      </c>
      <c r="J77" s="557">
        <f t="shared" si="4"/>
        <v>13.4</v>
      </c>
      <c r="K77" s="557">
        <f t="shared" si="4"/>
        <v>13.4</v>
      </c>
      <c r="L77" s="424"/>
      <c r="M77" s="424"/>
      <c r="N77" s="424"/>
      <c r="O77" s="424"/>
      <c r="P77" s="424"/>
      <c r="Q77" s="424"/>
      <c r="R77" s="424"/>
      <c r="S77" s="424"/>
    </row>
    <row r="78" spans="1:19" s="375" customFormat="1" ht="38.25">
      <c r="A78" s="379" t="str">
        <f>HLOOKUP($K$6,'RICON_Sprachen_DE_EN-FR'!$A$1:$C$67,59,FALSE)</f>
        <v>Doppel RICON® 120/30 A2 *
HT: 3xSK8x50, 12xSK5x50
NT: 3xSK8x80, 12xSK5x80</v>
      </c>
      <c r="B78" s="380" t="s">
        <v>869</v>
      </c>
      <c r="C78" s="558">
        <f>IF(RICON!$B$52=RICON_Edelstahl!$V$18,RICON_Edelstahl!B25*RICON_Edelstahl!E25,IF(RICON!$B$52=RICON_Edelstahl!$V$19,RICON_Edelstahl!C139,IF(RICON!$B$52=RICON_Edelstahl!$V$20,RICON_Edelstahl!$B$159*$C$54,RICON_Edelstahl!C331)))</f>
        <v>13.4</v>
      </c>
      <c r="D78" s="556">
        <f>IF($B$52=RICON_Edelstahl!$V$18,RICON_Edelstahl!L25,IF(RICON!$B$52=RICON_Edelstahl!$V$19,MIN(RICON_Edelstahl!B139,RICON_Edelstahl!E139),IF(RICON!$B$52=RICON_Edelstahl!$V$20,MIN(RICON_Edelstahl!B139,RICON_Edelstahl!E139),MIN(RICON_Edelstahl!B331,RICON_Edelstahl!D331))))</f>
        <v>24.07553650554291</v>
      </c>
      <c r="E78" s="546">
        <f t="shared" si="3"/>
        <v>13.4</v>
      </c>
      <c r="F78" s="557">
        <f t="shared" si="4"/>
        <v>11.111786079481341</v>
      </c>
      <c r="G78" s="557">
        <f t="shared" si="4"/>
        <v>12.963750426061566</v>
      </c>
      <c r="H78" s="557">
        <f t="shared" si="4"/>
        <v>13.4</v>
      </c>
      <c r="I78" s="557">
        <f t="shared" si="4"/>
        <v>13.4</v>
      </c>
      <c r="J78" s="557">
        <f t="shared" si="4"/>
        <v>13.4</v>
      </c>
      <c r="K78" s="557">
        <f t="shared" si="4"/>
        <v>13.4</v>
      </c>
      <c r="L78" s="424"/>
      <c r="M78" s="424"/>
      <c r="N78" s="424"/>
      <c r="O78" s="424"/>
      <c r="P78" s="424"/>
      <c r="Q78" s="424"/>
      <c r="R78" s="424"/>
      <c r="S78" s="424"/>
    </row>
    <row r="79" spans="1:19" s="375" customFormat="1" ht="38.25">
      <c r="A79" s="379" t="str">
        <f>HLOOKUP($K$6,'RICON_Sprachen_DE_EN-FR'!$A$1:$C$67,60,FALSE)</f>
        <v>Doppel RICON® 140/30 A2 *
HT: 3xSK8x50, 16xSK5x50
NT: 3xSK8x80, 16xSK5x80</v>
      </c>
      <c r="B79" s="380" t="s">
        <v>867</v>
      </c>
      <c r="C79" s="558">
        <f>IF(RICON!$B$52=RICON_Edelstahl!$V$18,RICON_Edelstahl!B26*RICON_Edelstahl!E26,IF(RICON!$B$52=RICON_Edelstahl!$V$19,RICON_Edelstahl!C140,IF(RICON!$B$52=RICON_Edelstahl!$V$20,RICON_Edelstahl!$B$159*$C$54,RICON_Edelstahl!C332)))</f>
        <v>13.4</v>
      </c>
      <c r="D79" s="556">
        <f>IF($B$52=RICON_Edelstahl!$V$18,RICON_Edelstahl!L26,IF(RICON!$B$52=RICON_Edelstahl!$V$19,MIN(RICON_Edelstahl!B140,RICON_Edelstahl!E140),IF(RICON!$B$52=RICON_Edelstahl!$V$20,MIN(RICON_Edelstahl!B140,RICON_Edelstahl!E140),MIN(RICON_Edelstahl!B332,RICON_Edelstahl!D332))))</f>
        <v>29.765034936899362</v>
      </c>
      <c r="E79" s="546">
        <f t="shared" si="3"/>
        <v>13.4</v>
      </c>
      <c r="F79" s="557">
        <f t="shared" si="4"/>
        <v>13.4</v>
      </c>
      <c r="G79" s="557">
        <f t="shared" si="4"/>
        <v>13.4</v>
      </c>
      <c r="H79" s="557">
        <f t="shared" si="4"/>
        <v>13.4</v>
      </c>
      <c r="I79" s="557">
        <f t="shared" si="4"/>
        <v>13.4</v>
      </c>
      <c r="J79" s="557">
        <f t="shared" si="4"/>
        <v>13.4</v>
      </c>
      <c r="K79" s="557">
        <f t="shared" si="4"/>
        <v>13.4</v>
      </c>
      <c r="L79" s="424"/>
      <c r="M79" s="424"/>
      <c r="N79" s="424"/>
      <c r="O79" s="424"/>
      <c r="P79" s="424"/>
      <c r="Q79" s="424"/>
      <c r="R79" s="424"/>
      <c r="S79" s="424"/>
    </row>
    <row r="80" spans="1:19" s="375" customFormat="1" ht="39" thickBot="1">
      <c r="A80" s="497" t="str">
        <f>HLOOKUP($K$6,'RICON_Sprachen_DE_EN-FR'!$A$1:$C$67,61,FALSE)</f>
        <v>Doppel RICON® 160/30 A2 *
HT: 3xSK8x50, 20xSK5x50
NT: 3xSK8x80, 20xSK5x80</v>
      </c>
      <c r="B80" s="407" t="s">
        <v>868</v>
      </c>
      <c r="C80" s="560">
        <f>IF(RICON!$B$52=RICON_Edelstahl!$V$18,RICON_Edelstahl!B27*RICON_Edelstahl!E27,IF(RICON!$B$52=RICON_Edelstahl!$V$19,RICON_Edelstahl!C141,IF(RICON!$B$52=RICON_Edelstahl!$V$20,RICON_Edelstahl!$B$159*$C$54,RICON_Edelstahl!C333)))</f>
        <v>13.4</v>
      </c>
      <c r="D80" s="571">
        <f>IF($B$52=RICON_Edelstahl!$V$18,RICON_Edelstahl!L27,IF(RICON!$B$52=RICON_Edelstahl!$V$19,MIN(RICON_Edelstahl!B141,RICON_Edelstahl!E141),IF(RICON!$B$52=RICON_Edelstahl!$V$20,MIN(RICON_Edelstahl!B141,RICON_Edelstahl!E141),MIN(RICON_Edelstahl!B333,RICON_Edelstahl!D333))))</f>
        <v>35.454533368255817</v>
      </c>
      <c r="E80" s="561">
        <f t="shared" si="3"/>
        <v>13.4</v>
      </c>
      <c r="F80" s="564">
        <f t="shared" si="4"/>
        <v>13.4</v>
      </c>
      <c r="G80" s="565">
        <f t="shared" si="4"/>
        <v>13.4</v>
      </c>
      <c r="H80" s="565">
        <f t="shared" si="4"/>
        <v>13.4</v>
      </c>
      <c r="I80" s="565">
        <f t="shared" si="4"/>
        <v>13.4</v>
      </c>
      <c r="J80" s="565">
        <f t="shared" si="4"/>
        <v>13.4</v>
      </c>
      <c r="K80" s="565">
        <f t="shared" si="4"/>
        <v>13.4</v>
      </c>
      <c r="L80" s="424"/>
      <c r="M80" s="424"/>
      <c r="N80" s="424"/>
      <c r="O80" s="424"/>
      <c r="P80" s="424"/>
      <c r="Q80" s="424"/>
      <c r="R80" s="424"/>
      <c r="S80" s="424"/>
    </row>
    <row r="81" spans="1:19" s="375" customFormat="1" ht="38.25" hidden="1">
      <c r="A81" s="498" t="str">
        <f>HLOOKUP($K$6,'RICON_Sprachen_DE_EN-FR'!$A$1:$C$67,62,FALSE)</f>
        <v>RICON® 100/25 A2  
HT: 2xSK8x50, 2xSK5x50
NT: 2xSK8x80, 2xSK5x80</v>
      </c>
      <c r="B81" s="380" t="s">
        <v>768</v>
      </c>
      <c r="C81" s="558">
        <f>IF(RICON!$B$52=RICON_Edelstahl!$V$18,RICON_Edelstahl!B28*RICON_Edelstahl!E28,IF(RICON!$B$52=RICON_Edelstahl!$V$19,RICON_Edelstahl!C142,IF(RICON!$B$52=RICON_Edelstahl!$V$20,RICON_Edelstahl!$B$160*$C$54,RICON_Edelstahl!C334)))</f>
        <v>10</v>
      </c>
      <c r="D81" s="558">
        <f>IF($B$52=RICON_Edelstahl!$V$18,RICON_Edelstahl!L28,IF(RICON!$B$52=RICON_Edelstahl!$V$19,MIN(RICON_Edelstahl!B142,RICON_Edelstahl!E142),IF(RICON!$B$52=RICON_Edelstahl!$V$20,MIN(RICON_Edelstahl!B142,RICON_Edelstahl!E142),MIN(RICON_Edelstahl!B334,RICON_Edelstahl!D334))))</f>
        <v>7.5161100233272613</v>
      </c>
      <c r="E81" s="548">
        <f t="shared" si="3"/>
        <v>10</v>
      </c>
      <c r="F81" s="563">
        <f t="shared" si="4"/>
        <v>3.4689738569202739</v>
      </c>
      <c r="G81" s="563">
        <f t="shared" si="4"/>
        <v>4.0471361664069869</v>
      </c>
      <c r="H81" s="563">
        <f t="shared" si="4"/>
        <v>4.6252984758936995</v>
      </c>
      <c r="I81" s="563">
        <f t="shared" si="4"/>
        <v>5.203460785380412</v>
      </c>
      <c r="J81" s="563">
        <f t="shared" si="4"/>
        <v>5.7816230948671237</v>
      </c>
      <c r="K81" s="563">
        <f t="shared" si="4"/>
        <v>6.3597854043538362</v>
      </c>
      <c r="L81" s="424"/>
      <c r="M81" s="424"/>
      <c r="N81" s="424"/>
      <c r="O81" s="424"/>
      <c r="P81" s="424"/>
      <c r="Q81" s="424"/>
      <c r="R81" s="424"/>
      <c r="S81" s="424"/>
    </row>
    <row r="82" spans="1:19" s="375" customFormat="1" ht="38.25">
      <c r="A82" s="818" t="str">
        <f>HLOOKUP($K$6,'RICON_Sprachen_DE_EN-FR'!$A$1:$C$67,63,FALSE)</f>
        <v>RICON® 120/25 A2  
HT: 2xSK8x50, 3xSK5x50
NT: 2xSK8x80, 3xSK5x80</v>
      </c>
      <c r="B82" s="380" t="s">
        <v>769</v>
      </c>
      <c r="C82" s="558">
        <f>IF(RICON!$B$52=RICON_Edelstahl!$V$18,RICON_Edelstahl!B29*RICON_Edelstahl!E29,IF(RICON!$B$52=RICON_Edelstahl!$V$19,RICON_Edelstahl!C143,IF(RICON!$B$52=RICON_Edelstahl!$V$20,RICON_Edelstahl!$B$160*$C$54,RICON_Edelstahl!C335)))</f>
        <v>10</v>
      </c>
      <c r="D82" s="556">
        <f>IF($B$52=RICON_Edelstahl!$V$18,RICON_Edelstahl!L29,IF(RICON!$B$52=RICON_Edelstahl!$V$19,MIN(RICON_Edelstahl!B143,RICON_Edelstahl!E143),IF(RICON!$B$52=RICON_Edelstahl!$V$20,MIN(RICON_Edelstahl!B143,RICON_Edelstahl!E143),MIN(RICON_Edelstahl!B335,RICON_Edelstahl!D335))))</f>
        <v>8.938484631166375</v>
      </c>
      <c r="E82" s="546">
        <f t="shared" si="3"/>
        <v>10</v>
      </c>
      <c r="F82" s="557">
        <f t="shared" si="4"/>
        <v>4.1254544451537116</v>
      </c>
      <c r="G82" s="557">
        <f t="shared" si="4"/>
        <v>4.8130301860126625</v>
      </c>
      <c r="H82" s="557">
        <f t="shared" si="4"/>
        <v>5.5006059268716152</v>
      </c>
      <c r="I82" s="557">
        <f t="shared" si="4"/>
        <v>6.1881816677305679</v>
      </c>
      <c r="J82" s="557">
        <f t="shared" si="4"/>
        <v>6.8757574085895188</v>
      </c>
      <c r="K82" s="557">
        <f t="shared" si="4"/>
        <v>7.5633331494484715</v>
      </c>
      <c r="L82" s="424"/>
      <c r="M82" s="424"/>
      <c r="N82" s="424"/>
      <c r="O82" s="424"/>
      <c r="P82" s="424"/>
      <c r="Q82" s="424"/>
      <c r="R82" s="424"/>
      <c r="S82" s="424"/>
    </row>
    <row r="83" spans="1:19" s="375" customFormat="1" ht="38.25" hidden="1">
      <c r="A83" s="818" t="str">
        <f>HLOOKUP($K$6,'RICON_Sprachen_DE_EN-FR'!$A$1:$C$67,64,FALSE)</f>
        <v>RICON® 140/25 A2  
HT: 2xSK8x50, 3xSK5x50
NT: 2xSK8x80, 3xSK5x80</v>
      </c>
      <c r="B83" s="380" t="s">
        <v>770</v>
      </c>
      <c r="C83" s="558">
        <f>IF(RICON!$B$52=RICON_Edelstahl!$V$18,RICON_Edelstahl!B30*RICON_Edelstahl!E30,IF(RICON!$B$52=RICON_Edelstahl!$V$19,RICON_Edelstahl!C144,IF(RICON!$B$52=RICON_Edelstahl!$V$20,RICON_Edelstahl!$B$160*$C$54,RICON_Edelstahl!C336)))</f>
        <v>10</v>
      </c>
      <c r="D83" s="556">
        <f>IF($B$52=RICON_Edelstahl!$V$18,RICON_Edelstahl!L30,IF(RICON!$B$52=RICON_Edelstahl!$V$19,MIN(RICON_Edelstahl!B144,RICON_Edelstahl!E144),IF(RICON!$B$52=RICON_Edelstahl!$V$20,MIN(RICON_Edelstahl!B144,RICON_Edelstahl!E144),MIN(RICON_Edelstahl!B336,RICON_Edelstahl!D336))))</f>
        <v>8.938484631166375</v>
      </c>
      <c r="E83" s="546">
        <f t="shared" si="3"/>
        <v>10</v>
      </c>
      <c r="F83" s="557">
        <f t="shared" si="4"/>
        <v>4.1254544451537116</v>
      </c>
      <c r="G83" s="557">
        <f t="shared" si="4"/>
        <v>4.8130301860126625</v>
      </c>
      <c r="H83" s="557">
        <f t="shared" si="4"/>
        <v>5.5006059268716152</v>
      </c>
      <c r="I83" s="557">
        <f t="shared" si="4"/>
        <v>6.1881816677305679</v>
      </c>
      <c r="J83" s="557">
        <f t="shared" si="4"/>
        <v>6.8757574085895188</v>
      </c>
      <c r="K83" s="557">
        <f t="shared" si="4"/>
        <v>7.5633331494484715</v>
      </c>
      <c r="L83" s="424"/>
      <c r="M83" s="424"/>
      <c r="N83" s="424"/>
      <c r="O83" s="424"/>
      <c r="P83" s="424"/>
      <c r="Q83" s="424"/>
      <c r="R83" s="424"/>
      <c r="S83" s="424"/>
    </row>
    <row r="84" spans="1:19" s="375" customFormat="1" ht="39" thickBot="1">
      <c r="A84" s="819" t="str">
        <f>HLOOKUP($K$6,'RICON_Sprachen_DE_EN-FR'!$A$1:$C$67,65,FALSE)</f>
        <v>RICON® 160/25 A2  
HT: 2xSK8x50, 4xSK5x50
NT: 2xSK8x80, 4xSK5x80</v>
      </c>
      <c r="B84" s="384" t="s">
        <v>771</v>
      </c>
      <c r="C84" s="559">
        <f>IF(RICON!$B$52=RICON_Edelstahl!$V$18,RICON_Edelstahl!B31*RICON_Edelstahl!E31,IF(RICON!$B$52=RICON_Edelstahl!$V$19,RICON_Edelstahl!C145,IF(RICON!$B$52=RICON_Edelstahl!$V$20,RICON_Edelstahl!$B$160*$C$54,RICON_Edelstahl!C337)))</f>
        <v>10</v>
      </c>
      <c r="D84" s="572">
        <f>IF($B$52=RICON_Edelstahl!$V$18,RICON_Edelstahl!L31,IF(RICON!$B$52=RICON_Edelstahl!$V$19,MIN(RICON_Edelstahl!B145,RICON_Edelstahl!E145),IF(RICON!$B$52=RICON_Edelstahl!$V$20,MIN(RICON_Edelstahl!B145,RICON_Edelstahl!E145),MIN(RICON_Edelstahl!B337,RICON_Edelstahl!D337))))</f>
        <v>10.360859239005489</v>
      </c>
      <c r="E84" s="549">
        <f t="shared" si="3"/>
        <v>10</v>
      </c>
      <c r="F84" s="567">
        <f t="shared" si="4"/>
        <v>4.7819350333871489</v>
      </c>
      <c r="G84" s="567">
        <f t="shared" si="4"/>
        <v>5.578924205618339</v>
      </c>
      <c r="H84" s="567">
        <f t="shared" si="4"/>
        <v>6.3759133778495309</v>
      </c>
      <c r="I84" s="567">
        <f t="shared" si="4"/>
        <v>7.1729025500807229</v>
      </c>
      <c r="J84" s="567">
        <f t="shared" si="4"/>
        <v>7.9698917223119139</v>
      </c>
      <c r="K84" s="567">
        <f t="shared" si="4"/>
        <v>8.7668808945431067</v>
      </c>
      <c r="L84" s="424"/>
      <c r="M84" s="424"/>
      <c r="N84" s="459"/>
      <c r="O84" s="458"/>
      <c r="P84" s="424"/>
      <c r="Q84" s="424"/>
      <c r="R84" s="424"/>
      <c r="S84" s="424"/>
    </row>
    <row r="85" spans="1:19" s="375" customFormat="1" ht="39" thickTop="1">
      <c r="A85" s="379" t="str">
        <f>HLOOKUP($K$6,'RICON_Sprachen_DE_EN-FR'!$A$1:$C$67,66,FALSE)</f>
        <v>RICON® 70/20 A2
HT: 3xSK5x50
NT: 3xSK5x80</v>
      </c>
      <c r="B85" s="390" t="s">
        <v>584</v>
      </c>
      <c r="C85" s="558">
        <f>IF(RICON!$B$52=RICON_Edelstahl!$V$18,RICON_Edelstahl!B32*RICON_Edelstahl!E32,IF(RICON!$B$52=RICON_Edelstahl!$V$19,RICON_Edelstahl!C146,IF(RICON!$B$52=RICON_Edelstahl!$V$20,RICON_Edelstahl!$B$161*$C$54,RICON_Edelstahl!C338)))</f>
        <v>3.7</v>
      </c>
      <c r="D85" s="558">
        <f>IF($B$52=RICON_Edelstahl!$V$18,RICON_Edelstahl!L32,IF(RICON!$B$52=RICON_Edelstahl!$V$19,MIN(RICON_Edelstahl!B146,RICON_Edelstahl!E146),IF(RICON!$B$52=RICON_Edelstahl!$V$20,MIN(RICON_Edelstahl!B146,RICON_Edelstahl!E146),MIN(RICON_Edelstahl!B338,RICON_Edelstahl!D338))))</f>
        <v>5.0646478158177981</v>
      </c>
      <c r="E85" s="548">
        <f t="shared" si="3"/>
        <v>3.7</v>
      </c>
      <c r="F85" s="563">
        <f t="shared" si="4"/>
        <v>2.3375297611466759</v>
      </c>
      <c r="G85" s="563">
        <f t="shared" si="4"/>
        <v>2.7271180546711218</v>
      </c>
      <c r="H85" s="563">
        <f t="shared" si="4"/>
        <v>3.1167063481955686</v>
      </c>
      <c r="I85" s="563">
        <f t="shared" si="4"/>
        <v>3.5062946417200136</v>
      </c>
      <c r="J85" s="563">
        <f t="shared" si="4"/>
        <v>3.7</v>
      </c>
      <c r="K85" s="563">
        <f t="shared" si="4"/>
        <v>3.7</v>
      </c>
      <c r="L85" s="424"/>
      <c r="M85" s="424"/>
      <c r="N85" s="424"/>
      <c r="O85" s="424"/>
      <c r="P85" s="424"/>
      <c r="Q85" s="424"/>
      <c r="R85" s="424"/>
      <c r="S85" s="424"/>
    </row>
    <row r="86" spans="1:19" s="375" customFormat="1" ht="38.25">
      <c r="A86" s="379" t="str">
        <f>HLOOKUP($K$6,'RICON_Sprachen_DE_EN-FR'!$A$1:$C$67,67,FALSE)</f>
        <v>RICON 66/16 A2
HT: 3xSK5x50
NT: 3xSK5x80</v>
      </c>
      <c r="B86" s="380" t="s">
        <v>583</v>
      </c>
      <c r="C86" s="558">
        <f>IF(RICON!$B$52=RICON_Edelstahl!$V$18,RICON_Edelstahl!B33*RICON_Edelstahl!E33,IF(RICON!$B$52=RICON_Edelstahl!$V$19,RICON_Edelstahl!C147,IF(RICON!$B$52=RICON_Edelstahl!$V$20,RICON_Edelstahl!$B$161*$C$54,RICON_Edelstahl!C339)))</f>
        <v>3.7</v>
      </c>
      <c r="D86" s="556">
        <f>IF($B$52=RICON_Edelstahl!$V$18,RICON_Edelstahl!L33,IF(RICON!$B$52=RICON_Edelstahl!$V$19,MIN(RICON_Edelstahl!B147,RICON_Edelstahl!E147),IF(RICON!$B$52=RICON_Edelstahl!$V$20,MIN(RICON_Edelstahl!B147,RICON_Edelstahl!E147),MIN(RICON_Edelstahl!B339,RICON_Edelstahl!D339))))</f>
        <v>5.0646478158177981</v>
      </c>
      <c r="E86" s="546">
        <f t="shared" si="3"/>
        <v>3.7</v>
      </c>
      <c r="F86" s="557">
        <f t="shared" si="4"/>
        <v>2.3375297611466759</v>
      </c>
      <c r="G86" s="557">
        <f t="shared" si="4"/>
        <v>2.7271180546711218</v>
      </c>
      <c r="H86" s="557">
        <f t="shared" si="4"/>
        <v>3.1167063481955686</v>
      </c>
      <c r="I86" s="557">
        <f t="shared" si="4"/>
        <v>3.5062946417200136</v>
      </c>
      <c r="J86" s="557">
        <f t="shared" si="4"/>
        <v>3.7</v>
      </c>
      <c r="K86" s="557">
        <f t="shared" si="4"/>
        <v>3.7</v>
      </c>
      <c r="L86" s="424"/>
      <c r="M86" s="424"/>
      <c r="N86" s="424"/>
      <c r="O86" s="424"/>
      <c r="P86" s="424"/>
      <c r="Q86" s="424"/>
      <c r="R86" s="424"/>
      <c r="S86" s="424"/>
    </row>
    <row r="87" spans="1:19" s="375" customFormat="1">
      <c r="A87" s="460"/>
      <c r="B87" s="461"/>
      <c r="C87" s="424"/>
      <c r="D87" s="424"/>
      <c r="E87" s="338"/>
      <c r="F87" s="424"/>
      <c r="G87" s="424"/>
      <c r="H87" s="424"/>
      <c r="I87" s="424"/>
      <c r="J87" s="424"/>
      <c r="K87" s="424"/>
      <c r="L87" s="424"/>
      <c r="M87" s="424"/>
      <c r="N87" s="424"/>
      <c r="O87" s="424"/>
      <c r="P87" s="424"/>
      <c r="Q87" s="424"/>
      <c r="R87" s="424"/>
      <c r="S87" s="424"/>
    </row>
    <row r="88" spans="1:19" s="375" customFormat="1">
      <c r="A88" s="459" t="str">
        <f>HLOOKUP($K$6,'RICON_Sprachen_DE_EN-FR'!$A$1:$C$30,30,FALSE)</f>
        <v>*Doppel RICON®:</v>
      </c>
      <c r="B88" s="782" t="str">
        <f>HLOOKUP($K$6,'RICON_Sprachen_DE_EN-FR'!$A$1:$C$31,31,FALSE)</f>
        <v>Doppel RICON® sind 2 RICON® unter bzw. hintereinander angeordnet (siehe Bild 2)</v>
      </c>
      <c r="C88" s="782"/>
      <c r="D88" s="782"/>
      <c r="E88" s="782"/>
      <c r="F88" s="782"/>
      <c r="G88" s="782"/>
      <c r="H88" s="782"/>
      <c r="I88" s="424"/>
      <c r="J88" s="424"/>
      <c r="K88" s="424"/>
      <c r="L88" s="424"/>
      <c r="M88" s="424"/>
      <c r="N88" s="424"/>
      <c r="O88" s="424"/>
      <c r="P88" s="424"/>
      <c r="Q88" s="424"/>
      <c r="R88" s="424"/>
      <c r="S88" s="424"/>
    </row>
    <row r="89" spans="1:19" s="375" customFormat="1" ht="12" customHeight="1">
      <c r="A89" s="471"/>
      <c r="B89" s="472"/>
      <c r="C89" s="473"/>
      <c r="D89" s="473"/>
      <c r="E89" s="470"/>
      <c r="F89" s="473"/>
      <c r="G89" s="473"/>
      <c r="H89" s="473"/>
      <c r="I89" s="473"/>
      <c r="J89" s="473"/>
      <c r="K89" s="473"/>
      <c r="L89" s="424"/>
      <c r="M89" s="424"/>
      <c r="N89" s="424"/>
      <c r="O89" s="424"/>
      <c r="P89" s="424"/>
      <c r="Q89" s="424"/>
      <c r="R89" s="424"/>
      <c r="S89" s="424"/>
    </row>
    <row r="90" spans="1:19" s="375" customFormat="1" ht="27.75" customHeight="1">
      <c r="A90" s="758" t="str">
        <f>HLOOKUP(K6,'RICON_Sprachen_DE_EN-FR'!A1:C68,68,FALSE)</f>
        <v xml:space="preserve">Belastungstabelle von KNAPP® RICON® Normalstahl nach ETA-10/0189 (Ausgabe 25/08/2022) </v>
      </c>
      <c r="B90" s="758"/>
      <c r="C90" s="758"/>
      <c r="D90" s="758"/>
      <c r="E90" s="758"/>
      <c r="F90" s="758"/>
      <c r="G90" s="758"/>
      <c r="H90" s="758"/>
      <c r="I90" s="758"/>
      <c r="J90" s="758"/>
      <c r="K90" s="758"/>
      <c r="L90" s="424"/>
      <c r="M90" s="424"/>
      <c r="N90" s="424"/>
      <c r="O90" s="424"/>
      <c r="P90" s="424"/>
      <c r="Q90" s="424"/>
      <c r="R90" s="424"/>
      <c r="S90" s="424"/>
    </row>
    <row r="91" spans="1:19" s="375" customFormat="1" ht="26.25" customHeight="1" thickBot="1">
      <c r="A91" s="759"/>
      <c r="B91" s="759"/>
      <c r="C91" s="759"/>
      <c r="D91" s="759"/>
      <c r="E91" s="759"/>
      <c r="F91" s="759"/>
      <c r="G91" s="759"/>
      <c r="H91" s="759"/>
      <c r="I91" s="759"/>
      <c r="J91" s="759"/>
      <c r="K91" s="759"/>
      <c r="L91" s="424"/>
      <c r="M91" s="424"/>
      <c r="N91" s="424"/>
      <c r="O91" s="424"/>
      <c r="P91" s="424"/>
      <c r="Q91" s="424"/>
      <c r="R91" s="424"/>
      <c r="S91" s="424"/>
    </row>
    <row r="92" spans="1:19" ht="33.75">
      <c r="A92" s="370" t="str">
        <f>HLOOKUP($K$6,'RICON_Sprachen_DE_EN-FR'!$A$1:$C$3,3,FALSE)</f>
        <v>RICON® Normalstahl:</v>
      </c>
      <c r="B92" s="499"/>
      <c r="C92" s="499" t="str">
        <f>HLOOKUP(K6,'RICON_Sprachen_DE_EN-FR'!A1:C69,69,FALSE)</f>
        <v>Ausmittige Glaslasten bis Glasstärken von 53 mm</v>
      </c>
      <c r="D92" s="499"/>
      <c r="E92" s="499"/>
      <c r="F92" s="499"/>
      <c r="G92" s="499"/>
      <c r="H92" s="499"/>
      <c r="I92" s="499"/>
      <c r="J92" s="499"/>
      <c r="K92" s="419"/>
      <c r="L92" s="362"/>
      <c r="M92" s="362"/>
      <c r="N92" s="362"/>
      <c r="O92" s="362"/>
      <c r="P92" s="362"/>
      <c r="Q92" s="362"/>
      <c r="R92" s="362"/>
      <c r="S92" s="362"/>
    </row>
    <row r="93" spans="1:19" ht="21">
      <c r="A93" s="337" t="str">
        <f>HLOOKUP($K$6,'RICON_Sprachen_DE_EN-FR'!$A$1:$C$70,70,FALSE)</f>
        <v>Belastungswerte</v>
      </c>
      <c r="B93" s="578" t="s">
        <v>1235</v>
      </c>
      <c r="C93" s="362"/>
      <c r="D93" s="362" t="str">
        <f>HLOOKUP(RICON!$K$6,'RICON_Sprachen_DE_EN-FR'!$A$1:$C$5,5,FALSE)</f>
        <v>Festigkeitsklasse:</v>
      </c>
      <c r="E93" s="400" t="s">
        <v>25</v>
      </c>
      <c r="G93" s="391" t="str">
        <f>VLOOKUP(E93,'RICON_RICON-S-EK_GIGANT_WALCO '!V7:Z18,3,FALSE)</f>
        <v>Brettschichtholz homogen</v>
      </c>
      <c r="H93" s="362"/>
      <c r="L93" s="362"/>
      <c r="M93" s="362"/>
      <c r="N93" s="362"/>
      <c r="O93" s="362"/>
      <c r="P93" s="362"/>
      <c r="Q93" s="362"/>
      <c r="R93" s="362"/>
      <c r="S93" s="362"/>
    </row>
    <row r="94" spans="1:19" ht="21">
      <c r="A94" s="337" t="str">
        <f>HLOOKUP($K$6,'RICON_Sprachen_DE_EN-FR'!$A$1:$C$71,71,FALSE)</f>
        <v>Aussermittig rechtwinklig zur Einschubrichtung</v>
      </c>
      <c r="D94" s="362" t="str">
        <f>HLOOKUP($K$6,'RICON_Sprachen_DE_EN-FR'!$A$1:$C$6,6,FALSE)</f>
        <v>Nutzungsklasse NKL:</v>
      </c>
      <c r="E94" s="400">
        <v>1</v>
      </c>
      <c r="G94" s="391" t="str">
        <f>HLOOKUP(K6,'RICON_RICON-S-EK_GIGANT_WALCO '!Z26:AB27,2,FALSE)</f>
        <v>Innenbereich</v>
      </c>
      <c r="L94" s="339"/>
    </row>
    <row r="95" spans="1:19" ht="21">
      <c r="A95" s="337"/>
      <c r="B95" s="339"/>
      <c r="L95" s="339"/>
    </row>
    <row r="96" spans="1:19" ht="18.75">
      <c r="A96" s="339"/>
      <c r="B96" s="339"/>
      <c r="L96" s="339"/>
    </row>
    <row r="97" spans="1:20" ht="18.75">
      <c r="A97" s="339"/>
      <c r="B97" s="339"/>
      <c r="J97" t="str">
        <f>HLOOKUP($K$6,'RICON_Sprachen_DE_EN-FR'!$A$1:C89,89,FALSE)</f>
        <v>6. Pfosten</v>
      </c>
      <c r="L97" s="339"/>
    </row>
    <row r="98" spans="1:20" ht="18.75">
      <c r="A98" s="339"/>
      <c r="B98" s="339"/>
      <c r="J98" t="str">
        <f>HLOOKUP($K$6,'RICON_Sprachen_DE_EN-FR'!$A$1:C90,90,FALSE)</f>
        <v>7. Riegel</v>
      </c>
      <c r="L98" s="339"/>
    </row>
    <row r="99" spans="1:20" ht="18.75">
      <c r="A99" s="339"/>
      <c r="B99" s="339"/>
      <c r="J99" t="str">
        <f>HLOOKUP($K$6,'RICON_Sprachen_DE_EN-FR'!$A$1:C91,91,FALSE)</f>
        <v>8. Doppel RICON®</v>
      </c>
      <c r="L99" s="339"/>
    </row>
    <row r="100" spans="1:20" ht="18.75">
      <c r="A100" s="339"/>
      <c r="B100" s="339"/>
      <c r="J100" t="str">
        <f>HLOOKUP($K$6,'RICON_Sprachen_DE_EN-FR'!$A$1:C92,92,FALSE)</f>
        <v>9. Verstärkungsplatte</v>
      </c>
      <c r="L100" s="339"/>
    </row>
    <row r="101" spans="1:20" ht="18.75">
      <c r="A101" s="339"/>
      <c r="B101" s="339"/>
      <c r="L101" s="339"/>
    </row>
    <row r="102" spans="1:20" ht="18.75">
      <c r="A102" s="339"/>
      <c r="B102" s="339"/>
      <c r="L102" s="339"/>
    </row>
    <row r="103" spans="1:20" ht="18.75">
      <c r="A103" s="339"/>
      <c r="B103" s="339"/>
      <c r="L103" s="339"/>
    </row>
    <row r="104" spans="1:20" ht="18.75">
      <c r="A104" s="339"/>
      <c r="B104" s="339"/>
      <c r="L104" s="339"/>
    </row>
    <row r="105" spans="1:20" ht="18.75">
      <c r="A105" s="339"/>
      <c r="B105" s="339"/>
      <c r="L105" s="339"/>
    </row>
    <row r="106" spans="1:20" ht="18.75">
      <c r="A106" s="339"/>
      <c r="B106" s="339"/>
      <c r="L106" s="339"/>
    </row>
    <row r="107" spans="1:20" ht="21">
      <c r="A107" s="337"/>
      <c r="B107" s="337"/>
      <c r="L107" s="337"/>
    </row>
    <row r="108" spans="1:20" ht="21">
      <c r="A108" s="500" t="str">
        <f>HLOOKUP($K$6,'RICON_Sprachen_DE_EN-FR'!$A$1:$C$74,72,FALSE)</f>
        <v>Bild 1: RICON® Pfosten-Riegel Anschluss</v>
      </c>
      <c r="B108" s="337"/>
      <c r="C108" s="765" t="str">
        <f>HLOOKUP($K$6,'RICON_Sprachen_DE_EN-FR'!$A$1:$C$74,73,FALSE)</f>
        <v>Bild 2: Doppel RICON® Pfosten-Riegel Anschluss</v>
      </c>
      <c r="D108" s="765"/>
      <c r="E108" s="765" t="str">
        <f>HLOOKUP($K$6,'RICON_Sprachen_DE_EN-FR'!$A$1:$C$74,74,FALSE)</f>
        <v>Bild 3: Pfosten-Riegel-Anschluss mit Verstärkungsplatte (VP)</v>
      </c>
      <c r="F108" s="765"/>
      <c r="G108" s="765"/>
      <c r="L108" s="337"/>
    </row>
    <row r="109" spans="1:20" ht="21">
      <c r="A109" s="337"/>
      <c r="B109" s="337"/>
      <c r="C109" s="783"/>
      <c r="D109" s="783"/>
      <c r="E109" s="783"/>
      <c r="F109" s="783"/>
      <c r="G109" s="783"/>
      <c r="L109" s="337"/>
    </row>
    <row r="110" spans="1:20" ht="18">
      <c r="A110" s="528" t="str">
        <f>HLOOKUP($K$6,'RICON_Sprachen_DE_EN-FR'!$A$1:$C$10,10,FALSE)</f>
        <v>KNAPP® Verbinder</v>
      </c>
      <c r="B110" s="769" t="s">
        <v>902</v>
      </c>
      <c r="C110" s="768" t="str">
        <f>HLOOKUP($K$6,'RICON_Sprachen_DE_EN-FR'!$A$1:$C$13,13,FALSE)</f>
        <v>Charakteristische Werte [kN]</v>
      </c>
      <c r="D110" s="768"/>
      <c r="E110" s="779" t="str">
        <f>HLOOKUP(K6,'RICON_Sprachen_DE_EN-FR'!A1:C75,75,FALSE)</f>
        <v>Belastungswerte F4,Rd [kN] für</v>
      </c>
      <c r="F110" s="767"/>
      <c r="G110" s="530" t="str">
        <f>E93</f>
        <v>GL24h</v>
      </c>
      <c r="H110" s="536" t="s">
        <v>1203</v>
      </c>
      <c r="I110" s="773" t="str">
        <f>HLOOKUP($K$6,'RICON_Sprachen_DE_EN-FR'!$A$1:$C$78,78,FALSE)</f>
        <v>Ausmittige Glaslast/Riegel [kg]</v>
      </c>
      <c r="J110" s="774"/>
      <c r="K110" s="434"/>
      <c r="M110" s="375"/>
      <c r="N110" s="375"/>
      <c r="S110" s="142"/>
      <c r="T110" s="142"/>
    </row>
    <row r="111" spans="1:20" ht="15" customHeight="1">
      <c r="A111" s="537" t="str">
        <f>HLOOKUP($K$6,'RICON_Sprachen_DE_EN-FR'!$A$1:$C$11,11,FALSE)</f>
        <v>Normalstahl</v>
      </c>
      <c r="B111" s="778"/>
      <c r="C111" s="529" t="str">
        <f>HLOOKUP($K$6,'RICON_Sprachen_DE_EN-FR'!$A$1:$C$77,76,FALSE)</f>
        <v>ohne VP</v>
      </c>
      <c r="D111" s="529" t="str">
        <f>HLOOKUP($K$6,'RICON_Sprachen_DE_EN-FR'!$A$1:$C$77,77,FALSE)</f>
        <v>mit VP</v>
      </c>
      <c r="E111" s="780" t="str">
        <f>HLOOKUP($K$6,'RICON_Sprachen_DE_EN-FR'!$A$1:$C$77,76,FALSE)</f>
        <v>ohne VP</v>
      </c>
      <c r="F111" s="789"/>
      <c r="G111" s="780" t="str">
        <f>HLOOKUP($K$6,'RICON_Sprachen_DE_EN-FR'!$A$1:$C$77,77,FALSE)</f>
        <v>mit VP</v>
      </c>
      <c r="H111" s="781"/>
      <c r="I111" s="785" t="str">
        <f>HLOOKUP($K$6,'RICON_Sprachen_DE_EN-FR'!$A$1:$C$77,76,FALSE)</f>
        <v>ohne VP</v>
      </c>
      <c r="J111" s="787" t="str">
        <f>HLOOKUP($K$6,'RICON_Sprachen_DE_EN-FR'!$A$1:$C$77,77,FALSE)</f>
        <v>mit VP</v>
      </c>
      <c r="K111" s="418"/>
      <c r="M111" s="2"/>
      <c r="N111" s="2"/>
      <c r="S111" s="142"/>
      <c r="T111" s="142"/>
    </row>
    <row r="112" spans="1:20">
      <c r="A112" s="538"/>
      <c r="B112" s="770"/>
      <c r="C112" s="529" t="str">
        <f>HLOOKUP($K$6,'RICON_Sprachen_DE_EN-FR'!$A$1:$C$79,79,FALSE)</f>
        <v>F4,Rk,ausmittig</v>
      </c>
      <c r="D112" s="529" t="str">
        <f>HLOOKUP($K$6,'RICON_Sprachen_DE_EN-FR'!$A$1:$C$79,79,FALSE)</f>
        <v>F4,Rk,ausmittig</v>
      </c>
      <c r="E112" s="535">
        <v>0.6</v>
      </c>
      <c r="F112" s="535">
        <v>0.9</v>
      </c>
      <c r="G112" s="535">
        <v>0.6</v>
      </c>
      <c r="H112" s="539">
        <v>0.9</v>
      </c>
      <c r="I112" s="786"/>
      <c r="J112" s="788"/>
      <c r="K112" s="418"/>
      <c r="O112" s="430"/>
      <c r="P112" s="430"/>
      <c r="Q112" s="430"/>
      <c r="R112" s="430"/>
      <c r="S112" s="142"/>
      <c r="T112" s="142"/>
    </row>
    <row r="113" spans="1:20" ht="45">
      <c r="A113" s="62" t="str">
        <f>HLOOKUP($K$6,'RICON_Sprachen_DE_EN-FR'!$A$1:$C$29,15,FALSE)</f>
        <v>RICON® 60/40
HT: 1xSK8x50, 2xSK5x50
NT: 1xSK8x80, 2xSK5x80</v>
      </c>
      <c r="B113" s="350" t="s">
        <v>460</v>
      </c>
      <c r="C113" s="367">
        <f>'RICON_RICON-S-EK_GIGANT_WALCO '!H763</f>
        <v>0.68556196386955359</v>
      </c>
      <c r="D113" s="367">
        <f>'RICON_RICON-S-EK_GIGANT_WALCO '!I763</f>
        <v>4.6855619638695538</v>
      </c>
      <c r="E113" s="279">
        <f>$C113*E$112/1.3</f>
        <v>0.31641321409364009</v>
      </c>
      <c r="F113" s="279">
        <f>$C113*F$112/1.3</f>
        <v>0.4746198211404602</v>
      </c>
      <c r="G113" s="279">
        <f>$D113*G$112/1.3</f>
        <v>2.1625670602474862</v>
      </c>
      <c r="H113" s="404">
        <f>$D113*H$112/1.3</f>
        <v>3.2438505903712298</v>
      </c>
      <c r="I113" s="405">
        <f>E113*200/1.35</f>
        <v>46.876031717576311</v>
      </c>
      <c r="J113" s="406">
        <f t="shared" ref="J113:J127" si="5">G113*200/1.35</f>
        <v>320.38030522184977</v>
      </c>
      <c r="K113" s="435"/>
      <c r="L113" s="68"/>
      <c r="M113" s="338"/>
      <c r="N113" s="338"/>
      <c r="O113" s="338"/>
      <c r="P113" s="338"/>
      <c r="Q113" s="338"/>
      <c r="R113" s="338"/>
      <c r="S113" s="431"/>
      <c r="T113" s="431"/>
    </row>
    <row r="114" spans="1:20" ht="45">
      <c r="A114" s="62" t="str">
        <f>HLOOKUP($K$6,'RICON_Sprachen_DE_EN-FR'!$A$1:$C$29,16,FALSE)</f>
        <v>RICON® 80/40 
HT: 2xSK8x50, 2xSK5x50
NT: 2xSK8x80, 2xSK5x80</v>
      </c>
      <c r="B114" s="350" t="s">
        <v>461</v>
      </c>
      <c r="C114" s="367">
        <f>'RICON_RICON-S-EK_GIGANT_WALCO '!H764</f>
        <v>0.93004458531057144</v>
      </c>
      <c r="D114" s="367">
        <f>'RICON_RICON-S-EK_GIGANT_WALCO '!I764</f>
        <v>4.9300445853105712</v>
      </c>
      <c r="E114" s="279">
        <f t="shared" ref="E114:F127" si="6">$C114*E$112/1.3</f>
        <v>0.42925134706641754</v>
      </c>
      <c r="F114" s="279">
        <f t="shared" si="6"/>
        <v>0.64387702059962637</v>
      </c>
      <c r="G114" s="279">
        <f t="shared" ref="G114:H127" si="7">$D114*G$112/1.3</f>
        <v>2.2754051932202635</v>
      </c>
      <c r="H114" s="404">
        <f t="shared" si="7"/>
        <v>3.4131077898303959</v>
      </c>
      <c r="I114" s="405">
        <f t="shared" ref="I114:I127" si="8">E114*200/1.35</f>
        <v>63.59279215798778</v>
      </c>
      <c r="J114" s="406">
        <f t="shared" si="5"/>
        <v>337.09706566226123</v>
      </c>
      <c r="K114" s="435"/>
      <c r="L114" s="68"/>
      <c r="M114" s="338"/>
      <c r="N114" s="338"/>
      <c r="O114" s="338"/>
      <c r="P114" s="338"/>
      <c r="Q114" s="338"/>
      <c r="R114" s="338"/>
      <c r="S114" s="431"/>
      <c r="T114" s="431"/>
    </row>
    <row r="115" spans="1:20" ht="45">
      <c r="A115" s="62" t="str">
        <f>HLOOKUP($K$6,'RICON_Sprachen_DE_EN-FR'!$A$1:$C$29,17,FALSE)</f>
        <v>RICON® 100/40 
HT: 2xSK8x50, 4xSK5x50
NT: 2xSK8x80, 4xSK5x80</v>
      </c>
      <c r="B115" s="350" t="s">
        <v>471</v>
      </c>
      <c r="C115" s="367">
        <f>'RICON_RICON-S-EK_GIGANT_WALCO '!H765</f>
        <v>1.4937800644343464</v>
      </c>
      <c r="D115" s="367">
        <f>'RICON_RICON-S-EK_GIGANT_WALCO '!I765</f>
        <v>5.4937800644343469</v>
      </c>
      <c r="E115" s="279">
        <f t="shared" si="6"/>
        <v>0.68943695281585216</v>
      </c>
      <c r="F115" s="279">
        <f t="shared" si="6"/>
        <v>1.0341554292237782</v>
      </c>
      <c r="G115" s="279">
        <f t="shared" si="7"/>
        <v>2.5355907989696984</v>
      </c>
      <c r="H115" s="404">
        <f t="shared" si="7"/>
        <v>3.8033861984545481</v>
      </c>
      <c r="I115" s="405">
        <f t="shared" si="8"/>
        <v>102.13880782457069</v>
      </c>
      <c r="J115" s="406">
        <f t="shared" si="5"/>
        <v>375.64308132884418</v>
      </c>
      <c r="K115" s="435"/>
      <c r="L115" s="68"/>
      <c r="M115" s="338"/>
      <c r="N115" s="338"/>
      <c r="O115" s="338"/>
      <c r="P115" s="338"/>
      <c r="Q115" s="338"/>
      <c r="R115" s="338"/>
      <c r="S115" s="431"/>
      <c r="T115" s="431"/>
    </row>
    <row r="116" spans="1:20" ht="45">
      <c r="A116" s="62" t="str">
        <f>HLOOKUP($K$6,'RICON_Sprachen_DE_EN-FR'!$A$1:$C$29,18,FALSE)</f>
        <v>RICON® 120/40 
HT: 2xSK8x50, 6xSK5x50
NT: 2xSK8x80, 6xSK5x80</v>
      </c>
      <c r="B116" s="350" t="s">
        <v>472</v>
      </c>
      <c r="C116" s="367">
        <f>'RICON_RICON-S-EK_GIGANT_WALCO '!H766</f>
        <v>2.0699476121956257</v>
      </c>
      <c r="D116" s="367">
        <f>'RICON_RICON-S-EK_GIGANT_WALCO '!I766</f>
        <v>6.0699476121956257</v>
      </c>
      <c r="E116" s="279">
        <f t="shared" si="6"/>
        <v>0.95536043639798107</v>
      </c>
      <c r="F116" s="279">
        <f t="shared" si="6"/>
        <v>1.4330406545969716</v>
      </c>
      <c r="G116" s="279">
        <f t="shared" si="7"/>
        <v>2.8015142825518269</v>
      </c>
      <c r="H116" s="404">
        <f t="shared" si="7"/>
        <v>4.2022714238277405</v>
      </c>
      <c r="I116" s="405">
        <f t="shared" si="8"/>
        <v>141.53487946636756</v>
      </c>
      <c r="J116" s="406">
        <f t="shared" si="5"/>
        <v>415.039152970641</v>
      </c>
      <c r="K116" s="435"/>
      <c r="L116" s="68"/>
      <c r="M116" s="338"/>
      <c r="N116" s="338"/>
      <c r="O116" s="338"/>
      <c r="P116" s="338"/>
      <c r="Q116" s="338"/>
      <c r="R116" s="338"/>
      <c r="S116" s="431"/>
      <c r="T116" s="431"/>
    </row>
    <row r="117" spans="1:20" ht="45">
      <c r="A117" s="62" t="str">
        <f>HLOOKUP($K$6,'RICON_Sprachen_DE_EN-FR'!$A$1:$C$29,19,FALSE)</f>
        <v>RICON® 140/40 
HT: 2xSK8x50, 8xSK5x50
NT: 2xSK8x80, 8xSK5x80</v>
      </c>
      <c r="B117" s="350" t="s">
        <v>473</v>
      </c>
      <c r="C117" s="367">
        <f>'RICON_RICON-S-EK_GIGANT_WALCO '!H767</f>
        <v>2.6785451403230303</v>
      </c>
      <c r="D117" s="367">
        <f>'RICON_RICON-S-EK_GIGANT_WALCO '!I767</f>
        <v>6.6785451403230303</v>
      </c>
      <c r="E117" s="279">
        <f t="shared" si="6"/>
        <v>1.2362516032260138</v>
      </c>
      <c r="F117" s="279">
        <f t="shared" si="6"/>
        <v>1.8543774048390211</v>
      </c>
      <c r="G117" s="279">
        <f t="shared" si="7"/>
        <v>3.0824054493798596</v>
      </c>
      <c r="H117" s="404">
        <f t="shared" si="7"/>
        <v>4.6236081740697896</v>
      </c>
      <c r="I117" s="405">
        <f t="shared" si="8"/>
        <v>183.14838566311315</v>
      </c>
      <c r="J117" s="406">
        <f t="shared" si="5"/>
        <v>456.65265916738662</v>
      </c>
      <c r="K117" s="435"/>
      <c r="L117" s="68"/>
      <c r="M117" s="338"/>
      <c r="N117" s="338"/>
      <c r="O117" s="338"/>
      <c r="P117" s="338"/>
      <c r="Q117" s="338"/>
      <c r="R117" s="338"/>
      <c r="S117" s="431"/>
      <c r="T117" s="431"/>
    </row>
    <row r="118" spans="1:20" ht="45.75" thickBot="1">
      <c r="A118" s="283" t="str">
        <f>HLOOKUP($K$6,'RICON_Sprachen_DE_EN-FR'!$A$1:$C$29,20,FALSE)</f>
        <v>RICON® 160/40 
HT: 2xSK8x50, 10xSK5x50
NT: 2xSK8x80, 10xSK5x80</v>
      </c>
      <c r="B118" s="358" t="s">
        <v>474</v>
      </c>
      <c r="C118" s="409">
        <f>'RICON_RICON-S-EK_GIGANT_WALCO '!H768</f>
        <v>3.3245358298367984</v>
      </c>
      <c r="D118" s="409">
        <f>'RICON_RICON-S-EK_GIGANT_WALCO '!I768</f>
        <v>7.3245358298367984</v>
      </c>
      <c r="E118" s="318">
        <f t="shared" si="6"/>
        <v>1.5344011522323684</v>
      </c>
      <c r="F118" s="318">
        <f t="shared" si="6"/>
        <v>2.3016017283485528</v>
      </c>
      <c r="G118" s="318">
        <f t="shared" si="7"/>
        <v>3.3805549983862146</v>
      </c>
      <c r="H118" s="413">
        <f t="shared" si="7"/>
        <v>5.070832497579322</v>
      </c>
      <c r="I118" s="414">
        <f t="shared" si="8"/>
        <v>227.31868921961009</v>
      </c>
      <c r="J118" s="415">
        <f t="shared" si="5"/>
        <v>500.82296272388362</v>
      </c>
      <c r="K118" s="435"/>
      <c r="L118" s="68"/>
      <c r="M118" s="338"/>
      <c r="N118" s="338"/>
      <c r="O118" s="338"/>
      <c r="P118" s="338"/>
      <c r="Q118" s="338"/>
      <c r="R118" s="338"/>
      <c r="S118" s="431"/>
      <c r="T118" s="431"/>
    </row>
    <row r="119" spans="1:20" ht="45.75" thickTop="1">
      <c r="A119" s="259" t="str">
        <f>HLOOKUP($K$6,'RICON_Sprachen_DE_EN-FR'!$A$1:$C$29,21,FALSE)</f>
        <v>RICON® 100/40 SL
HT: 2xSK8x50, 4xSK5x50
NT: 2xSK8x160, 4xSK5x80</v>
      </c>
      <c r="B119" s="357" t="s">
        <v>471</v>
      </c>
      <c r="C119" s="408">
        <f>'RICON_RICON-S-EK_GIGANT_WALCO '!H769</f>
        <v>2.2940224981557469</v>
      </c>
      <c r="D119" s="408">
        <f>'RICON_RICON-S-EK_GIGANT_WALCO '!I769</f>
        <v>6.2940224981557469</v>
      </c>
      <c r="E119" s="321">
        <f t="shared" si="6"/>
        <v>1.0587796145334214</v>
      </c>
      <c r="F119" s="321">
        <f t="shared" si="6"/>
        <v>1.5881694218001323</v>
      </c>
      <c r="G119" s="321">
        <f t="shared" si="7"/>
        <v>2.9049334606872677</v>
      </c>
      <c r="H119" s="410">
        <f t="shared" si="7"/>
        <v>4.3574001910309015</v>
      </c>
      <c r="I119" s="411">
        <f t="shared" si="8"/>
        <v>156.85623919013648</v>
      </c>
      <c r="J119" s="412">
        <f t="shared" si="5"/>
        <v>430.36051269440998</v>
      </c>
      <c r="K119" s="435"/>
      <c r="L119" s="68"/>
      <c r="M119" s="338"/>
      <c r="N119" s="338"/>
      <c r="O119" s="338"/>
      <c r="P119" s="338"/>
      <c r="Q119" s="338"/>
      <c r="R119" s="338"/>
      <c r="S119" s="431"/>
      <c r="T119" s="431"/>
    </row>
    <row r="120" spans="1:20" ht="45">
      <c r="A120" s="62" t="str">
        <f>HLOOKUP($K$6,'RICON_Sprachen_DE_EN-FR'!$A$1:$C$29,22,FALSE)</f>
        <v>RICON® 120/40 SL
HT: 2xSK8x50, 6xSK5x50
NT: 2xSK8x160, 6xSK5x80</v>
      </c>
      <c r="B120" s="357" t="s">
        <v>472</v>
      </c>
      <c r="C120" s="408">
        <f>'RICON_RICON-S-EK_GIGANT_WALCO '!H770</f>
        <v>3.1789097314502079</v>
      </c>
      <c r="D120" s="408">
        <f>'RICON_RICON-S-EK_GIGANT_WALCO '!I770</f>
        <v>7.1789097314502079</v>
      </c>
      <c r="E120" s="321">
        <f t="shared" si="6"/>
        <v>1.4671891068231728</v>
      </c>
      <c r="F120" s="321">
        <f t="shared" si="6"/>
        <v>2.2007836602347592</v>
      </c>
      <c r="G120" s="321">
        <f t="shared" si="7"/>
        <v>3.3133429529770186</v>
      </c>
      <c r="H120" s="410">
        <f t="shared" si="7"/>
        <v>4.9700144294655288</v>
      </c>
      <c r="I120" s="411">
        <f t="shared" ref="I120" si="9">E120*200/1.35</f>
        <v>217.36134915898853</v>
      </c>
      <c r="J120" s="412">
        <f t="shared" ref="J120" si="10">G120*200/1.35</f>
        <v>490.865622663262</v>
      </c>
      <c r="K120" s="435"/>
      <c r="L120" s="68"/>
      <c r="M120" s="338"/>
      <c r="N120" s="338"/>
      <c r="O120" s="338"/>
      <c r="P120" s="338"/>
      <c r="Q120" s="338"/>
      <c r="R120" s="338"/>
      <c r="S120" s="431"/>
      <c r="T120" s="431"/>
    </row>
    <row r="121" spans="1:20" ht="45">
      <c r="A121" s="62" t="str">
        <f>HLOOKUP($K$6,'RICON_Sprachen_DE_EN-FR'!$A$1:$C$29,23,FALSE)</f>
        <v>RICON® 140/40 SL 
HT: 2xSK8x50, 8xSK5x50
NT: 2xSK8x160, 8xSK5x80</v>
      </c>
      <c r="B121" s="350" t="s">
        <v>473</v>
      </c>
      <c r="C121" s="367">
        <f>'RICON_RICON-S-EK_GIGANT_WALCO '!H771</f>
        <v>4.1135329443476287</v>
      </c>
      <c r="D121" s="367">
        <f>'RICON_RICON-S-EK_GIGANT_WALCO '!I771</f>
        <v>8.1135329443476287</v>
      </c>
      <c r="E121" s="279">
        <f t="shared" si="6"/>
        <v>1.8985536666219824</v>
      </c>
      <c r="F121" s="279">
        <f t="shared" si="6"/>
        <v>2.8478304999329738</v>
      </c>
      <c r="G121" s="279">
        <f t="shared" si="7"/>
        <v>3.744707512775828</v>
      </c>
      <c r="H121" s="404">
        <f t="shared" si="7"/>
        <v>5.6170612691637434</v>
      </c>
      <c r="I121" s="405">
        <f t="shared" si="8"/>
        <v>281.26720986992331</v>
      </c>
      <c r="J121" s="406">
        <f t="shared" si="5"/>
        <v>554.77148337419669</v>
      </c>
      <c r="K121" s="435"/>
      <c r="L121" s="432"/>
      <c r="M121" s="338"/>
      <c r="N121" s="338"/>
      <c r="O121" s="338"/>
      <c r="P121" s="338"/>
      <c r="Q121" s="338"/>
      <c r="R121" s="338"/>
      <c r="S121" s="431"/>
      <c r="T121" s="431"/>
    </row>
    <row r="122" spans="1:20" ht="60.75" thickBot="1">
      <c r="A122" s="283" t="str">
        <f>HLOOKUP($K$6,'RICON_Sprachen_DE_EN-FR'!$A$1:$C$29,24,FALSE)</f>
        <v>RICON 160/40 SL 
HT: 2xSK8x50, 10xSK5x50
NT: 2xSK8x160, 10xSK5x80</v>
      </c>
      <c r="B122" s="358" t="s">
        <v>474</v>
      </c>
      <c r="C122" s="409">
        <f>'RICON_RICON-S-EK_GIGANT_WALCO '!H772</f>
        <v>5.1055236549138909</v>
      </c>
      <c r="D122" s="409">
        <f>'RICON_RICON-S-EK_GIGANT_WALCO '!I772</f>
        <v>9.1055236549138918</v>
      </c>
      <c r="E122" s="318">
        <f t="shared" si="6"/>
        <v>2.3563955330371802</v>
      </c>
      <c r="F122" s="318">
        <f t="shared" si="6"/>
        <v>3.5345932995557705</v>
      </c>
      <c r="G122" s="318">
        <f t="shared" si="7"/>
        <v>4.2025493791910264</v>
      </c>
      <c r="H122" s="413">
        <f t="shared" si="7"/>
        <v>6.3038240687865406</v>
      </c>
      <c r="I122" s="414">
        <f t="shared" si="8"/>
        <v>349.09563452402671</v>
      </c>
      <c r="J122" s="415">
        <f t="shared" si="5"/>
        <v>622.59990802830021</v>
      </c>
      <c r="K122" s="435"/>
      <c r="L122" s="432"/>
      <c r="M122" s="338"/>
      <c r="N122" s="338"/>
      <c r="O122" s="338"/>
      <c r="P122" s="338"/>
      <c r="Q122" s="338"/>
      <c r="R122" s="338"/>
      <c r="S122" s="431"/>
      <c r="T122" s="431"/>
    </row>
    <row r="123" spans="1:20" ht="45.75" thickTop="1">
      <c r="A123" s="259" t="str">
        <f>HLOOKUP($K$6,'RICON_Sprachen_DE_EN-FR'!$A$1:$C$29,25,FALSE)</f>
        <v>Doppel RICON® 80/40 *
HT: 3x8x50, 4xSK5x50
NT: 3xSK8x80, 4xSK5x80</v>
      </c>
      <c r="B123" s="357" t="s">
        <v>590</v>
      </c>
      <c r="C123" s="408">
        <f>'RICON_RICON-S-EK_GIGANT_WALCO '!H773</f>
        <v>2.8454065427374902</v>
      </c>
      <c r="D123" s="408">
        <f>'RICON_RICON-S-EK_GIGANT_WALCO '!I773</f>
        <v>6.8454065427374902</v>
      </c>
      <c r="E123" s="321">
        <f t="shared" si="6"/>
        <v>1.3132645581865339</v>
      </c>
      <c r="F123" s="321">
        <f t="shared" si="6"/>
        <v>1.9698968372798009</v>
      </c>
      <c r="G123" s="321">
        <f t="shared" si="7"/>
        <v>3.1594184043403799</v>
      </c>
      <c r="H123" s="410">
        <f t="shared" si="7"/>
        <v>4.7391276065105696</v>
      </c>
      <c r="I123" s="411">
        <f t="shared" si="8"/>
        <v>194.55771232393093</v>
      </c>
      <c r="J123" s="412">
        <f t="shared" si="5"/>
        <v>468.0619858282044</v>
      </c>
      <c r="K123" s="435"/>
      <c r="L123" s="68"/>
      <c r="M123" s="338"/>
      <c r="N123" s="338"/>
      <c r="O123" s="338"/>
      <c r="P123" s="338"/>
      <c r="Q123" s="338"/>
      <c r="R123" s="338"/>
      <c r="S123" s="431"/>
      <c r="T123" s="431"/>
    </row>
    <row r="124" spans="1:20" ht="45">
      <c r="A124" s="62" t="str">
        <f>HLOOKUP($K$6,'RICON_Sprachen_DE_EN-FR'!$A$1:$C$29,26,FALSE)</f>
        <v>Doppel RICON® 100/40 *
HT: 3x8x50, 8xSK5x50
NT: 3xSK8x80, 8xSK5x80</v>
      </c>
      <c r="B124" s="350" t="s">
        <v>591</v>
      </c>
      <c r="C124" s="367">
        <f>'RICON_RICON-S-EK_GIGANT_WALCO '!H774</f>
        <v>4.2725432285353833</v>
      </c>
      <c r="D124" s="367">
        <f>'RICON_RICON-S-EK_GIGANT_WALCO '!I774</f>
        <v>8.2725432285353833</v>
      </c>
      <c r="E124" s="279">
        <f t="shared" si="6"/>
        <v>1.9719430285547921</v>
      </c>
      <c r="F124" s="279">
        <f t="shared" si="6"/>
        <v>2.9579145428321882</v>
      </c>
      <c r="G124" s="279">
        <f t="shared" si="7"/>
        <v>3.8180968747086386</v>
      </c>
      <c r="H124" s="404">
        <f t="shared" si="7"/>
        <v>5.727145312062957</v>
      </c>
      <c r="I124" s="405">
        <f t="shared" si="8"/>
        <v>292.13970793404326</v>
      </c>
      <c r="J124" s="406">
        <f t="shared" si="5"/>
        <v>565.64398143831681</v>
      </c>
      <c r="K124" s="435"/>
      <c r="L124" s="68"/>
      <c r="M124" s="338"/>
      <c r="N124" s="338"/>
      <c r="O124" s="338"/>
      <c r="P124" s="338"/>
      <c r="Q124" s="338"/>
      <c r="R124" s="338"/>
      <c r="S124" s="431"/>
      <c r="T124" s="431"/>
    </row>
    <row r="125" spans="1:20" ht="45">
      <c r="A125" s="62" t="str">
        <f>HLOOKUP($K$6,'RICON_Sprachen_DE_EN-FR'!$A$1:$C$29,27,FALSE)</f>
        <v>Doppel RICON® 120/40 *
HT: 3x8x50, 12xSK5x50
NT: 3xSK8x80, 12xSK5x80</v>
      </c>
      <c r="B125" s="350" t="s">
        <v>592</v>
      </c>
      <c r="C125" s="367">
        <f>'RICON_RICON-S-EK_GIGANT_WALCO '!H775</f>
        <v>5.6346405643713657</v>
      </c>
      <c r="D125" s="367">
        <f>'RICON_RICON-S-EK_GIGANT_WALCO '!I775</f>
        <v>9.6346405643713666</v>
      </c>
      <c r="E125" s="279">
        <f t="shared" si="6"/>
        <v>2.6006033374021684</v>
      </c>
      <c r="F125" s="279">
        <f t="shared" si="6"/>
        <v>3.9009050061032533</v>
      </c>
      <c r="G125" s="279">
        <f t="shared" si="7"/>
        <v>4.4467571835560156</v>
      </c>
      <c r="H125" s="404">
        <f t="shared" si="7"/>
        <v>6.6701357753340238</v>
      </c>
      <c r="I125" s="405">
        <f t="shared" si="8"/>
        <v>385.2745685040249</v>
      </c>
      <c r="J125" s="406">
        <f t="shared" si="5"/>
        <v>658.77884200829851</v>
      </c>
      <c r="K125" s="435"/>
      <c r="L125" s="68"/>
      <c r="M125" s="338"/>
      <c r="N125" s="338"/>
      <c r="O125" s="338"/>
      <c r="P125" s="338"/>
      <c r="Q125" s="338"/>
      <c r="R125" s="338"/>
      <c r="S125" s="431"/>
      <c r="T125" s="431"/>
    </row>
    <row r="126" spans="1:20" ht="45">
      <c r="A126" s="62" t="str">
        <f>HLOOKUP($K$6,'RICON_Sprachen_DE_EN-FR'!$A$1:$C$29,28,FALSE)</f>
        <v>Doppel RICON® 140/40 *
HT: 3x8x50, 16xSK5x50
NT: 3xSK8x80, 16xSK5x80</v>
      </c>
      <c r="B126" s="350" t="s">
        <v>593</v>
      </c>
      <c r="C126" s="367">
        <f>'RICON_RICON-S-EK_GIGANT_WALCO '!H776</f>
        <v>5.1169638723882258</v>
      </c>
      <c r="D126" s="367">
        <f>'RICON_RICON-S-EK_GIGANT_WALCO '!I776</f>
        <v>9.1169638723882258</v>
      </c>
      <c r="E126" s="279">
        <f t="shared" si="6"/>
        <v>2.3616756334099502</v>
      </c>
      <c r="F126" s="279">
        <f t="shared" si="6"/>
        <v>3.5425134501149258</v>
      </c>
      <c r="G126" s="279">
        <f t="shared" si="7"/>
        <v>4.207829479563796</v>
      </c>
      <c r="H126" s="404">
        <f t="shared" si="7"/>
        <v>6.3117442193456954</v>
      </c>
      <c r="I126" s="405">
        <f t="shared" si="8"/>
        <v>349.87787161628893</v>
      </c>
      <c r="J126" s="406">
        <f t="shared" si="5"/>
        <v>623.38214512056231</v>
      </c>
      <c r="K126" s="435"/>
      <c r="L126" s="68"/>
      <c r="M126" s="338"/>
      <c r="N126" s="338"/>
      <c r="O126" s="338"/>
      <c r="P126" s="338"/>
      <c r="Q126" s="338"/>
      <c r="R126" s="338"/>
      <c r="S126" s="431"/>
      <c r="T126" s="431"/>
    </row>
    <row r="127" spans="1:20" ht="45">
      <c r="A127" s="62" t="str">
        <f>HLOOKUP($K$6,'RICON_Sprachen_DE_EN-FR'!$A$1:$C$29,29,FALSE)</f>
        <v>Doppel RICON® 160/40 *
HT: 3x8x50, 20xSK5x50
NT: 3xSK8x80, 20xSK5x80</v>
      </c>
      <c r="B127" s="350" t="s">
        <v>594</v>
      </c>
      <c r="C127" s="367">
        <f>'RICON_RICON-S-EK_GIGANT_WALCO '!H777</f>
        <v>4.6863960027681477</v>
      </c>
      <c r="D127" s="367">
        <f>'RICON_RICON-S-EK_GIGANT_WALCO '!I777</f>
        <v>8.6863960027681486</v>
      </c>
      <c r="E127" s="279">
        <f t="shared" si="6"/>
        <v>2.1629520012776062</v>
      </c>
      <c r="F127" s="279">
        <f t="shared" si="6"/>
        <v>3.2444280019164102</v>
      </c>
      <c r="G127" s="279">
        <f t="shared" si="7"/>
        <v>4.0091058474314529</v>
      </c>
      <c r="H127" s="404">
        <f t="shared" si="7"/>
        <v>6.0136587711471794</v>
      </c>
      <c r="I127" s="405">
        <f t="shared" si="8"/>
        <v>320.4373335226083</v>
      </c>
      <c r="J127" s="406">
        <f t="shared" si="5"/>
        <v>593.94160702688191</v>
      </c>
      <c r="K127" s="435"/>
      <c r="L127" s="68"/>
      <c r="M127" s="338"/>
      <c r="N127" s="338"/>
      <c r="O127" s="338"/>
      <c r="P127" s="338"/>
      <c r="Q127" s="338"/>
      <c r="R127" s="338"/>
      <c r="S127" s="431"/>
      <c r="T127" s="431"/>
    </row>
    <row r="128" spans="1:20">
      <c r="A128" s="68"/>
      <c r="B128" s="351"/>
      <c r="C128" s="338"/>
      <c r="D128" s="338"/>
      <c r="E128" s="338"/>
      <c r="F128" s="338"/>
      <c r="G128" s="338"/>
      <c r="H128" s="338"/>
      <c r="I128" s="338"/>
      <c r="J128" s="338"/>
      <c r="K128" s="338"/>
      <c r="L128" s="68"/>
      <c r="M128" s="338"/>
      <c r="N128" s="338"/>
      <c r="O128" s="338"/>
      <c r="P128" s="338"/>
      <c r="Q128" s="338"/>
      <c r="R128" s="338"/>
      <c r="S128" s="431"/>
      <c r="T128" s="431"/>
    </row>
    <row r="129" spans="1:11">
      <c r="A129" s="459" t="str">
        <f>HLOOKUP($K$6,'RICON_Sprachen_DE_EN-FR'!$A$1:$C$30,30,FALSE)</f>
        <v>*Doppel RICON®:</v>
      </c>
      <c r="B129" s="782" t="str">
        <f>HLOOKUP($K$6,'RICON_Sprachen_DE_EN-FR'!$A$1:$C$31,31,FALSE)</f>
        <v>Doppel RICON® sind 2 RICON® unter bzw. hintereinander angeordnet (siehe Bild 2)</v>
      </c>
      <c r="C129" s="782"/>
      <c r="D129" s="782"/>
      <c r="E129" s="782"/>
      <c r="F129" s="782"/>
      <c r="G129" s="782"/>
      <c r="H129" s="782"/>
    </row>
    <row r="130" spans="1:11">
      <c r="A130" s="459"/>
      <c r="B130" s="458"/>
    </row>
    <row r="131" spans="1:11">
      <c r="A131" s="49" t="str">
        <f>HLOOKUP(K6,'RICON_Sprachen_DE_EN-FR'!A1:C80,80,FALSE)</f>
        <v>Berechnung von F4,Rd für exzentrische Lasten für Glasdicken t ≤ 53 mm</v>
      </c>
    </row>
    <row r="133" spans="1:11">
      <c r="D133" s="142"/>
    </row>
    <row r="134" spans="1:11">
      <c r="D134" s="142"/>
    </row>
    <row r="135" spans="1:11">
      <c r="D135" s="142"/>
    </row>
    <row r="137" spans="1:11">
      <c r="A137" s="486"/>
      <c r="B137" s="486"/>
      <c r="C137" s="486"/>
      <c r="D137" s="486"/>
      <c r="E137" s="486"/>
      <c r="F137" s="486"/>
      <c r="G137" s="486"/>
      <c r="H137" s="486"/>
      <c r="I137" s="486"/>
      <c r="J137" s="486"/>
      <c r="K137" s="487"/>
    </row>
  </sheetData>
  <sheetProtection algorithmName="SHA-512" hashValue="QDqMZmQSgZ2M8EJEpk6ge1yS5PwM2wMeC9sw6zpz4nq53aPnOqFZFuyOg7vQKy54588l2jSXfKxXE0XceL6wtw==" saltValue="FOw+yXND6HPSA61jjCF32A==" spinCount="100000" sheet="1" objects="1" scenarios="1" selectLockedCells="1"/>
  <customSheetViews>
    <customSheetView guid="{88029C9E-0AAA-4AEA-8FBA-3530118F01BF}" showGridLines="0" showRowCol="0" hiddenColumns="1">
      <selection activeCell="B5" sqref="B5"/>
      <rowBreaks count="1" manualBreakCount="1">
        <brk id="37" max="16383" man="1"/>
      </rowBreaks>
      <pageMargins left="0.23622047244094491" right="0.23622047244094491" top="0.74803149606299213" bottom="0.74803149606299213" header="0.31496062992125984" footer="0.31496062992125984"/>
      <pageSetup paperSize="9" scale="62" orientation="portrait" r:id="rId1"/>
      <headerFooter>
        <oddFooter>&amp;CVERBINDUNGSSYSTEME FÜR DEN HOLZBAU UND MÖBELBAU
KNAPP GMBH, A-3324 Euratsfeld, Wassergasse 31,  AUSTRIA/EUROPE 
 Tel. +43(0)7474/79910,  Fax +43(0)7474/79910-99
eMail: austriainfo@knapp-verbinder.com,  www.knapp-verbinder.com&amp;R&amp;P</oddFooter>
      </headerFooter>
    </customSheetView>
  </customSheetViews>
  <mergeCells count="36">
    <mergeCell ref="B129:H129"/>
    <mergeCell ref="A20:B20"/>
    <mergeCell ref="A49:K50"/>
    <mergeCell ref="A90:K91"/>
    <mergeCell ref="C108:D109"/>
    <mergeCell ref="E108:G109"/>
    <mergeCell ref="D45:I46"/>
    <mergeCell ref="B40:H40"/>
    <mergeCell ref="D43:I43"/>
    <mergeCell ref="D44:I44"/>
    <mergeCell ref="B88:H88"/>
    <mergeCell ref="I111:I112"/>
    <mergeCell ref="J111:J112"/>
    <mergeCell ref="B22:B23"/>
    <mergeCell ref="E111:F111"/>
    <mergeCell ref="C110:D110"/>
    <mergeCell ref="I110:J110"/>
    <mergeCell ref="A7:B7"/>
    <mergeCell ref="A6:C6"/>
    <mergeCell ref="A9:I19"/>
    <mergeCell ref="J14:K15"/>
    <mergeCell ref="J16:K17"/>
    <mergeCell ref="A51:B51"/>
    <mergeCell ref="C22:D22"/>
    <mergeCell ref="B110:B112"/>
    <mergeCell ref="E110:F110"/>
    <mergeCell ref="G111:H111"/>
    <mergeCell ref="A1:K2"/>
    <mergeCell ref="J3:K3"/>
    <mergeCell ref="F56:H56"/>
    <mergeCell ref="H3:I3"/>
    <mergeCell ref="C56:D56"/>
    <mergeCell ref="B56:B57"/>
    <mergeCell ref="F22:H22"/>
    <mergeCell ref="A54:B54"/>
    <mergeCell ref="A53:C53"/>
  </mergeCells>
  <phoneticPr fontId="56" type="noConversion"/>
  <dataValidations count="1">
    <dataValidation type="list" allowBlank="1" showInputMessage="1" showErrorMessage="1" sqref="C7 C54" xr:uid="{CF88E682-0F69-435A-AA04-B7858EC7C6D1}">
      <formula1>"1,2"</formula1>
    </dataValidation>
  </dataValidations>
  <printOptions horizontalCentered="1"/>
  <pageMargins left="0.19685039370078741" right="0.19685039370078741" top="0.78740157480314965" bottom="0.74803149606299213" header="0.31496062992125984" footer="0.31496062992125984"/>
  <pageSetup paperSize="9" scale="53" orientation="portrait" useFirstPageNumber="1" horizontalDpi="1200" verticalDpi="1200" r:id="rId2"/>
  <headerFooter alignWithMargins="0">
    <oddHeader>&amp;L&amp;G</oddHeader>
    <oddFooter>&amp;CKnapp GmbH (Austria/Europe) Wassergasse 31 I A-3324 Euratsfeld  
Statik +43 (0) 7474 / 799 10 I statik@knapp-verbinder.com I www.knapp-verbinder.com I France +33 (0)3 88 48 17 87 I france@knapp-connectors.com I  www.knapp-connectors.com/fr</oddFooter>
  </headerFooter>
  <rowBreaks count="2" manualBreakCount="2">
    <brk id="48" max="10" man="1"/>
    <brk id="89" max="10" man="1"/>
  </rowBreaks>
  <drawing r:id="rId3"/>
  <legacyDrawingHF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2000000}">
          <x14:formula1>
            <xm:f>'RICON_RICON-S-EK_GIGANT_WALCO '!$V$7:$V$18</xm:f>
          </x14:formula1>
          <xm:sqref>E5 E52 E93</xm:sqref>
        </x14:dataValidation>
        <x14:dataValidation type="list" allowBlank="1" showInputMessage="1" showErrorMessage="1" xr:uid="{CF454ECF-741D-4124-8435-8900BC27E7D4}">
          <x14:formula1>
            <xm:f>'RICON_Sprachen_DE_EN-FR'!$A$1:$C$1</xm:f>
          </x14:formula1>
          <xm:sqref>K6</xm:sqref>
        </x14:dataValidation>
        <x14:dataValidation type="list" allowBlank="1" showInputMessage="1" showErrorMessage="1" xr:uid="{D975DE42-A858-499A-AC73-75EC7E82A869}">
          <x14:formula1>
            <xm:f>'RICON_RICON-S-EK_GIGANT_WALCO '!$V$20:$V$23</xm:f>
          </x14:formula1>
          <xm:sqref>B5</xm:sqref>
        </x14:dataValidation>
        <x14:dataValidation type="list" allowBlank="1" showInputMessage="1" showErrorMessage="1" xr:uid="{00000000-0002-0000-0400-000001000000}">
          <x14:formula1>
            <xm:f>'RICON_RICON-S-EK_GIGANT_WALCO '!$V$27:$V$28</xm:f>
          </x14:formula1>
          <xm:sqref>E6</xm:sqref>
        </x14:dataValidation>
        <x14:dataValidation type="list" allowBlank="1" showInputMessage="1" showErrorMessage="1" xr:uid="{00000000-0002-0000-0400-000003000000}">
          <x14:formula1>
            <xm:f>'RICON_RICON-S-EK_GIGANT_WALCO '!$V$27:$V$29</xm:f>
          </x14:formula1>
          <xm:sqref>E53</xm:sqref>
        </x14:dataValidation>
        <x14:dataValidation type="list" allowBlank="1" showInputMessage="1" showErrorMessage="1" xr:uid="{59993015-C4CB-4AE8-9C8F-459823227A4D}">
          <x14:formula1>
            <xm:f>RICON_Edelstahl!$V$18:$V$21</xm:f>
          </x14:formula1>
          <xm:sqref>B52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T100"/>
  <sheetViews>
    <sheetView showGridLines="0" showRowColHeaders="0" showRuler="0" view="pageLayout" zoomScaleNormal="100" workbookViewId="0">
      <selection activeCell="E5" sqref="E5"/>
    </sheetView>
  </sheetViews>
  <sheetFormatPr baseColWidth="10" defaultRowHeight="15"/>
  <cols>
    <col min="1" max="1" width="27.42578125" customWidth="1"/>
    <col min="2" max="2" width="22.140625" customWidth="1"/>
    <col min="3" max="3" width="14.28515625" bestFit="1" customWidth="1"/>
    <col min="4" max="4" width="25" bestFit="1" customWidth="1"/>
    <col min="6" max="6" width="12.42578125" customWidth="1"/>
    <col min="9" max="9" width="12" customWidth="1"/>
    <col min="10" max="10" width="13.140625" customWidth="1"/>
    <col min="11" max="11" width="27.42578125" hidden="1" customWidth="1"/>
    <col min="12" max="12" width="0" hidden="1" customWidth="1"/>
    <col min="13" max="13" width="13.7109375" hidden="1" customWidth="1"/>
    <col min="14" max="19" width="0" hidden="1" customWidth="1"/>
  </cols>
  <sheetData>
    <row r="1" spans="1:20" ht="21" customHeight="1">
      <c r="A1" s="758" t="s">
        <v>631</v>
      </c>
      <c r="B1" s="758"/>
      <c r="C1" s="758"/>
      <c r="D1" s="758"/>
      <c r="E1" s="758"/>
      <c r="F1" s="758"/>
      <c r="G1" s="758"/>
      <c r="H1" s="758"/>
      <c r="I1" s="758"/>
      <c r="J1" s="758"/>
      <c r="K1" s="791" t="s">
        <v>417</v>
      </c>
      <c r="L1" s="791"/>
      <c r="M1" s="791"/>
      <c r="N1" s="791"/>
      <c r="O1" s="791"/>
      <c r="P1" s="791"/>
      <c r="Q1" s="791"/>
      <c r="R1" s="791"/>
    </row>
    <row r="2" spans="1:20" ht="21.6" customHeight="1" thickBot="1">
      <c r="A2" s="759"/>
      <c r="B2" s="759"/>
      <c r="C2" s="759"/>
      <c r="D2" s="759"/>
      <c r="E2" s="759"/>
      <c r="F2" s="759"/>
      <c r="G2" s="759"/>
      <c r="H2" s="759"/>
      <c r="I2" s="759"/>
      <c r="J2" s="759"/>
      <c r="K2" s="791"/>
      <c r="L2" s="791"/>
      <c r="M2" s="791"/>
      <c r="N2" s="791"/>
      <c r="O2" s="791"/>
      <c r="P2" s="791"/>
      <c r="Q2" s="791"/>
      <c r="R2" s="791"/>
    </row>
    <row r="3" spans="1:20" ht="21">
      <c r="A3" s="344"/>
      <c r="B3" s="344"/>
      <c r="C3" s="344"/>
      <c r="D3" s="344"/>
      <c r="E3" s="344"/>
      <c r="F3" s="344"/>
      <c r="G3" s="344"/>
      <c r="H3" s="344"/>
      <c r="I3" s="344"/>
      <c r="K3" s="344"/>
      <c r="L3" s="344"/>
      <c r="M3" s="344"/>
      <c r="N3" s="344"/>
      <c r="O3" s="344"/>
      <c r="P3" s="344"/>
      <c r="Q3" s="344"/>
      <c r="R3" s="344"/>
    </row>
    <row r="4" spans="1:20" ht="33.75">
      <c r="A4" s="370" t="s">
        <v>650</v>
      </c>
      <c r="B4" s="371"/>
      <c r="C4" s="371"/>
      <c r="D4" s="371"/>
      <c r="E4" s="371"/>
      <c r="F4" s="371"/>
      <c r="G4" s="371"/>
      <c r="H4" s="371"/>
      <c r="I4" s="371"/>
      <c r="J4" s="369"/>
      <c r="K4" s="344"/>
      <c r="L4" s="344"/>
      <c r="M4" s="344"/>
      <c r="N4" s="344"/>
      <c r="O4" s="344"/>
      <c r="P4" s="344"/>
      <c r="Q4" s="344"/>
      <c r="R4" s="344"/>
    </row>
    <row r="5" spans="1:20" ht="21">
      <c r="A5" s="337" t="s">
        <v>632</v>
      </c>
      <c r="B5" s="362"/>
      <c r="C5" s="362"/>
      <c r="D5" s="362" t="s">
        <v>634</v>
      </c>
      <c r="E5" s="400" t="s">
        <v>25</v>
      </c>
      <c r="G5" s="391" t="str">
        <f>VLOOKUP(E5,'RICON_RICON-S-EK_GIGANT_WALCO '!V7:AB16,4,FALSE)</f>
        <v>Brettschichtholz homogen</v>
      </c>
      <c r="H5" s="362"/>
      <c r="K5" s="792" t="s">
        <v>442</v>
      </c>
      <c r="L5" s="792"/>
      <c r="M5" s="792"/>
      <c r="N5" s="792"/>
      <c r="O5" s="792"/>
      <c r="P5" s="792"/>
      <c r="Q5" s="792"/>
      <c r="R5" s="792"/>
    </row>
    <row r="6" spans="1:20" ht="18.75">
      <c r="D6" s="362" t="s">
        <v>633</v>
      </c>
      <c r="E6" s="400">
        <v>1</v>
      </c>
      <c r="G6" s="391" t="str">
        <f>VLOOKUP(Belastungsblatt_RICON_DE!E6,'RICON_RICON-S-EK_GIGANT_WALCO '!V27:AA28,3,FALSE)</f>
        <v>Innenbereich</v>
      </c>
      <c r="K6" s="339" t="s">
        <v>418</v>
      </c>
    </row>
    <row r="7" spans="1:20" ht="21.6" customHeight="1">
      <c r="A7" s="344"/>
      <c r="B7" s="344"/>
      <c r="C7" s="344"/>
      <c r="D7" s="344"/>
      <c r="E7" s="344"/>
      <c r="F7" s="344"/>
      <c r="G7" s="344"/>
      <c r="H7" s="344"/>
      <c r="I7" s="344"/>
      <c r="K7" s="344"/>
      <c r="L7" s="344"/>
      <c r="M7" s="344"/>
      <c r="N7" s="344"/>
      <c r="O7" s="344"/>
      <c r="P7" s="344"/>
      <c r="Q7" s="344"/>
      <c r="R7" s="344"/>
    </row>
    <row r="8" spans="1:20" ht="21.6" customHeight="1">
      <c r="A8" s="344"/>
      <c r="B8" s="344"/>
      <c r="C8" s="344"/>
      <c r="D8" s="344"/>
      <c r="E8" s="344"/>
      <c r="F8" s="344"/>
      <c r="G8" s="344"/>
      <c r="H8" s="344"/>
      <c r="I8" s="344"/>
      <c r="K8" s="344"/>
      <c r="L8" s="344"/>
      <c r="M8" s="344"/>
      <c r="N8" s="344"/>
      <c r="O8" s="344"/>
      <c r="P8" s="344"/>
      <c r="Q8" s="344"/>
      <c r="R8" s="344"/>
    </row>
    <row r="9" spans="1:20" ht="21.6" customHeight="1">
      <c r="A9" s="344"/>
      <c r="B9" s="344"/>
      <c r="C9" s="344"/>
      <c r="D9" s="344"/>
      <c r="E9" s="344"/>
      <c r="F9" s="344"/>
      <c r="G9" s="344"/>
      <c r="H9" s="344"/>
      <c r="K9" s="344"/>
      <c r="L9" s="344"/>
      <c r="M9" s="344"/>
      <c r="N9" s="344"/>
      <c r="O9" s="344"/>
      <c r="P9" s="344"/>
      <c r="Q9" s="344"/>
      <c r="R9" s="344"/>
      <c r="T9" s="361"/>
    </row>
    <row r="10" spans="1:20" ht="21.6" customHeight="1">
      <c r="A10" s="344"/>
      <c r="B10" s="344"/>
      <c r="C10" s="344"/>
      <c r="D10" s="344"/>
      <c r="E10" s="344"/>
      <c r="F10" s="344"/>
      <c r="G10" s="344"/>
      <c r="H10" s="344"/>
      <c r="I10" s="344"/>
      <c r="K10" s="344"/>
      <c r="L10" s="344"/>
      <c r="M10" s="344"/>
      <c r="N10" s="344"/>
      <c r="O10" s="344"/>
      <c r="P10" s="344"/>
      <c r="Q10" s="344"/>
      <c r="R10" s="344"/>
    </row>
    <row r="11" spans="1:20" ht="21.6" customHeight="1">
      <c r="A11" s="344"/>
      <c r="B11" s="344"/>
      <c r="C11" s="344"/>
      <c r="D11" s="344"/>
      <c r="E11" s="344"/>
      <c r="F11" s="344"/>
      <c r="G11" s="344"/>
      <c r="H11" s="344"/>
      <c r="I11" s="344"/>
      <c r="K11" s="344"/>
      <c r="L11" s="344"/>
      <c r="M11" s="344"/>
      <c r="N11" s="344"/>
      <c r="O11" s="344"/>
      <c r="P11" s="344"/>
      <c r="Q11" s="344"/>
      <c r="R11" s="344"/>
    </row>
    <row r="12" spans="1:20" ht="21.6" customHeight="1">
      <c r="A12" s="344"/>
      <c r="B12" s="344"/>
      <c r="C12" s="344"/>
      <c r="D12" s="344"/>
      <c r="E12" s="344"/>
      <c r="F12" s="344"/>
      <c r="G12" s="344"/>
      <c r="H12" s="344"/>
      <c r="I12" s="344"/>
      <c r="K12" s="344"/>
      <c r="L12" s="344"/>
      <c r="M12" s="344"/>
      <c r="N12" s="344"/>
      <c r="O12" s="344"/>
      <c r="P12" s="344"/>
      <c r="Q12" s="344"/>
      <c r="R12" s="344"/>
    </row>
    <row r="13" spans="1:20" ht="21.6" customHeight="1">
      <c r="A13" s="344"/>
      <c r="B13" s="344"/>
      <c r="C13" s="344"/>
      <c r="D13" s="344"/>
      <c r="E13" s="344"/>
      <c r="F13" s="344"/>
      <c r="G13" s="344"/>
      <c r="H13" s="344"/>
      <c r="I13" s="344"/>
      <c r="K13" s="344"/>
      <c r="L13" s="344"/>
      <c r="M13" s="344"/>
      <c r="N13" s="344"/>
      <c r="O13" s="344"/>
      <c r="P13" s="344"/>
      <c r="Q13" s="344"/>
      <c r="R13" s="344"/>
    </row>
    <row r="16" spans="1:20" ht="21">
      <c r="B16" s="337"/>
      <c r="K16" s="337" t="s">
        <v>383</v>
      </c>
    </row>
    <row r="17" spans="1:18" ht="15" customHeight="1">
      <c r="A17" s="398" t="s">
        <v>419</v>
      </c>
      <c r="B17" s="394" t="s">
        <v>581</v>
      </c>
      <c r="C17" s="790" t="s">
        <v>423</v>
      </c>
      <c r="D17" s="790"/>
      <c r="E17" s="703" t="str">
        <f>"Design values F2,Rd for "&amp;E5&amp;" [kN]"</f>
        <v>Design values F2,Rd for GL24h [kN]</v>
      </c>
      <c r="F17" s="704"/>
      <c r="G17" s="704"/>
      <c r="H17" s="704"/>
      <c r="I17" s="401" t="s">
        <v>648</v>
      </c>
      <c r="K17" s="3" t="s">
        <v>448</v>
      </c>
      <c r="L17" s="793" t="s">
        <v>423</v>
      </c>
      <c r="M17" s="793"/>
      <c r="N17" s="664" t="s">
        <v>421</v>
      </c>
      <c r="O17" s="665"/>
      <c r="P17" s="665"/>
      <c r="Q17" s="665"/>
      <c r="R17" s="666"/>
    </row>
    <row r="18" spans="1:18">
      <c r="A18" s="399" t="s">
        <v>683</v>
      </c>
      <c r="B18" s="354" t="s">
        <v>580</v>
      </c>
      <c r="C18" s="396" t="s">
        <v>384</v>
      </c>
      <c r="D18" s="396" t="s">
        <v>385</v>
      </c>
      <c r="E18" s="397">
        <v>0.6</v>
      </c>
      <c r="F18" s="397">
        <v>0.7</v>
      </c>
      <c r="G18" s="397">
        <v>0.8</v>
      </c>
      <c r="H18" s="397">
        <v>0.9</v>
      </c>
      <c r="I18" s="397">
        <v>1</v>
      </c>
      <c r="K18" s="7" t="s">
        <v>420</v>
      </c>
      <c r="L18" s="41" t="s">
        <v>384</v>
      </c>
      <c r="M18" s="41" t="s">
        <v>385</v>
      </c>
      <c r="N18" s="87">
        <v>0.6</v>
      </c>
      <c r="O18" s="87">
        <v>0.7</v>
      </c>
      <c r="P18" s="87">
        <v>0.8</v>
      </c>
      <c r="Q18" s="87">
        <v>0.9</v>
      </c>
      <c r="R18" s="87">
        <v>1</v>
      </c>
    </row>
    <row r="19" spans="1:18" ht="45">
      <c r="A19" s="62" t="s">
        <v>651</v>
      </c>
      <c r="B19" s="350" t="s">
        <v>459</v>
      </c>
      <c r="C19" s="367">
        <f>'RICON_RICON-S-EK_GIGANT_WALCO '!C190</f>
        <v>6</v>
      </c>
      <c r="D19" s="367">
        <f>'RICON_RICON-S-EK_GIGANT_WALCO '!F190</f>
        <v>5.0131385975895597</v>
      </c>
      <c r="E19" s="279">
        <f t="shared" ref="E19:I31" si="0">MIN($C19/1,$D19*E$18/1.3)</f>
        <v>2.3137562758105656</v>
      </c>
      <c r="F19" s="279">
        <f t="shared" si="0"/>
        <v>2.6993823217789936</v>
      </c>
      <c r="G19" s="279">
        <f t="shared" si="0"/>
        <v>3.0850083677474216</v>
      </c>
      <c r="H19" s="279">
        <f t="shared" si="0"/>
        <v>3.4706344137158487</v>
      </c>
      <c r="I19" s="279">
        <f t="shared" si="0"/>
        <v>3.8562604596842767</v>
      </c>
      <c r="K19" s="62" t="s">
        <v>397</v>
      </c>
      <c r="L19" s="279">
        <f>'RICON_RICON-S-EK_GIGANT_WALCO '!C190</f>
        <v>6</v>
      </c>
      <c r="M19" s="279">
        <f>'RICON_RICON-S-EK_GIGANT_WALCO '!F190</f>
        <v>5.0131385975895597</v>
      </c>
      <c r="N19" s="279">
        <f t="shared" ref="N19:R31" si="1">MIN($C19/1,$D19*N$18/1.3)</f>
        <v>2.3137562758105656</v>
      </c>
      <c r="O19" s="279">
        <f t="shared" si="1"/>
        <v>2.6993823217789936</v>
      </c>
      <c r="P19" s="279">
        <f t="shared" si="1"/>
        <v>3.0850083677474216</v>
      </c>
      <c r="Q19" s="279">
        <f t="shared" si="1"/>
        <v>3.4706344137158487</v>
      </c>
      <c r="R19" s="279">
        <f t="shared" si="1"/>
        <v>3.8562604596842767</v>
      </c>
    </row>
    <row r="20" spans="1:18" ht="45">
      <c r="A20" s="62" t="s">
        <v>652</v>
      </c>
      <c r="B20" s="350" t="s">
        <v>613</v>
      </c>
      <c r="C20" s="367">
        <f>'RICON_RICON-S-EK_GIGANT_WALCO '!C191</f>
        <v>11</v>
      </c>
      <c r="D20" s="367">
        <f>'RICON_RICON-S-EK_GIGANT_WALCO '!F191</f>
        <v>7.2988007866232749</v>
      </c>
      <c r="E20" s="279">
        <f t="shared" si="0"/>
        <v>3.3686772861338188</v>
      </c>
      <c r="F20" s="279">
        <f t="shared" si="0"/>
        <v>3.9301235004894552</v>
      </c>
      <c r="G20" s="279">
        <f t="shared" si="0"/>
        <v>4.4915697148450926</v>
      </c>
      <c r="H20" s="279">
        <f t="shared" si="0"/>
        <v>5.0530159292007291</v>
      </c>
      <c r="I20" s="279">
        <f t="shared" si="0"/>
        <v>5.6144621435563655</v>
      </c>
      <c r="K20" s="62" t="s">
        <v>398</v>
      </c>
      <c r="L20" s="279">
        <f>'RICON_RICON-S-EK_GIGANT_WALCO '!C191</f>
        <v>11</v>
      </c>
      <c r="M20" s="279">
        <f>'RICON_RICON-S-EK_GIGANT_WALCO '!F191</f>
        <v>7.2988007866232749</v>
      </c>
      <c r="N20" s="279">
        <f t="shared" si="1"/>
        <v>3.3686772861338188</v>
      </c>
      <c r="O20" s="279">
        <f t="shared" si="1"/>
        <v>3.9301235004894552</v>
      </c>
      <c r="P20" s="279">
        <f t="shared" si="1"/>
        <v>4.4915697148450926</v>
      </c>
      <c r="Q20" s="279">
        <f t="shared" si="1"/>
        <v>5.0530159292007291</v>
      </c>
      <c r="R20" s="279">
        <f t="shared" si="1"/>
        <v>5.6144621435563655</v>
      </c>
    </row>
    <row r="21" spans="1:18" ht="45">
      <c r="A21" s="62" t="s">
        <v>653</v>
      </c>
      <c r="B21" s="350" t="s">
        <v>463</v>
      </c>
      <c r="C21" s="367">
        <f>'RICON_RICON-S-EK_GIGANT_WALCO '!C192</f>
        <v>14</v>
      </c>
      <c r="D21" s="367">
        <f>'RICON_RICON-S-EK_GIGANT_WALCO '!F192</f>
        <v>10.026277195179119</v>
      </c>
      <c r="E21" s="279">
        <f t="shared" si="0"/>
        <v>4.6275125516211313</v>
      </c>
      <c r="F21" s="279">
        <f t="shared" si="0"/>
        <v>5.3987646435579872</v>
      </c>
      <c r="G21" s="279">
        <f t="shared" si="0"/>
        <v>6.1700167354948432</v>
      </c>
      <c r="H21" s="279">
        <f t="shared" si="0"/>
        <v>6.9412688274316974</v>
      </c>
      <c r="I21" s="279">
        <f t="shared" si="0"/>
        <v>7.7125209193685533</v>
      </c>
      <c r="K21" s="62" t="s">
        <v>399</v>
      </c>
      <c r="L21" s="279">
        <f>'RICON_RICON-S-EK_GIGANT_WALCO '!C192</f>
        <v>14</v>
      </c>
      <c r="M21" s="279">
        <f>'RICON_RICON-S-EK_GIGANT_WALCO '!F192</f>
        <v>10.026277195179119</v>
      </c>
      <c r="N21" s="279">
        <f t="shared" si="1"/>
        <v>4.6275125516211313</v>
      </c>
      <c r="O21" s="279">
        <f t="shared" si="1"/>
        <v>5.3987646435579872</v>
      </c>
      <c r="P21" s="279">
        <f t="shared" si="1"/>
        <v>6.1700167354948432</v>
      </c>
      <c r="Q21" s="279">
        <f t="shared" si="1"/>
        <v>6.9412688274316974</v>
      </c>
      <c r="R21" s="279">
        <f t="shared" si="1"/>
        <v>7.7125209193685533</v>
      </c>
    </row>
    <row r="22" spans="1:18" ht="45">
      <c r="A22" s="62" t="s">
        <v>654</v>
      </c>
      <c r="B22" s="350" t="s">
        <v>464</v>
      </c>
      <c r="C22" s="367">
        <f>'RICON_RICON-S-EK_GIGANT_WALCO '!C193</f>
        <v>18</v>
      </c>
      <c r="D22" s="367">
        <f>'RICON_RICON-S-EK_GIGANT_WALCO '!F193</f>
        <v>12.753753603734964</v>
      </c>
      <c r="E22" s="279">
        <f t="shared" si="0"/>
        <v>5.8863478171084447</v>
      </c>
      <c r="F22" s="279">
        <f t="shared" si="0"/>
        <v>6.8674057866265183</v>
      </c>
      <c r="G22" s="279">
        <f t="shared" si="0"/>
        <v>7.8484637561445938</v>
      </c>
      <c r="H22" s="279">
        <f t="shared" si="0"/>
        <v>8.8295217256626675</v>
      </c>
      <c r="I22" s="279">
        <f t="shared" si="0"/>
        <v>9.810579695180742</v>
      </c>
      <c r="K22" s="62" t="s">
        <v>400</v>
      </c>
      <c r="L22" s="279">
        <f>'RICON_RICON-S-EK_GIGANT_WALCO '!C193</f>
        <v>18</v>
      </c>
      <c r="M22" s="279">
        <f>'RICON_RICON-S-EK_GIGANT_WALCO '!F193</f>
        <v>12.753753603734964</v>
      </c>
      <c r="N22" s="279">
        <f t="shared" si="1"/>
        <v>5.8863478171084447</v>
      </c>
      <c r="O22" s="279">
        <f t="shared" si="1"/>
        <v>6.8674057866265183</v>
      </c>
      <c r="P22" s="279">
        <f t="shared" si="1"/>
        <v>7.8484637561445938</v>
      </c>
      <c r="Q22" s="279">
        <f t="shared" si="1"/>
        <v>8.8295217256626675</v>
      </c>
      <c r="R22" s="279">
        <f t="shared" si="1"/>
        <v>9.810579695180742</v>
      </c>
    </row>
    <row r="23" spans="1:18" ht="45">
      <c r="A23" s="62" t="s">
        <v>655</v>
      </c>
      <c r="B23" s="350" t="s">
        <v>465</v>
      </c>
      <c r="C23" s="367">
        <f>'RICON_RICON-S-EK_GIGANT_WALCO '!C194</f>
        <v>18</v>
      </c>
      <c r="D23" s="367">
        <f>'RICON_RICON-S-EK_GIGANT_WALCO '!F194</f>
        <v>15.481230012290808</v>
      </c>
      <c r="E23" s="279">
        <f t="shared" si="0"/>
        <v>7.1451830825957581</v>
      </c>
      <c r="F23" s="279">
        <f t="shared" si="0"/>
        <v>8.3360469296950495</v>
      </c>
      <c r="G23" s="279">
        <f t="shared" si="0"/>
        <v>9.5269107767943435</v>
      </c>
      <c r="H23" s="279">
        <f t="shared" si="0"/>
        <v>10.717774623893636</v>
      </c>
      <c r="I23" s="279">
        <f t="shared" si="0"/>
        <v>11.90863847099293</v>
      </c>
      <c r="K23" s="62" t="s">
        <v>401</v>
      </c>
      <c r="L23" s="279">
        <f>'RICON_RICON-S-EK_GIGANT_WALCO '!C194</f>
        <v>18</v>
      </c>
      <c r="M23" s="279">
        <f>'RICON_RICON-S-EK_GIGANT_WALCO '!F194</f>
        <v>15.481230012290808</v>
      </c>
      <c r="N23" s="279">
        <f t="shared" si="1"/>
        <v>7.1451830825957581</v>
      </c>
      <c r="O23" s="279">
        <f t="shared" si="1"/>
        <v>8.3360469296950495</v>
      </c>
      <c r="P23" s="279">
        <f t="shared" si="1"/>
        <v>9.5269107767943435</v>
      </c>
      <c r="Q23" s="279">
        <f t="shared" si="1"/>
        <v>10.717774623893636</v>
      </c>
      <c r="R23" s="279">
        <f t="shared" si="1"/>
        <v>11.90863847099293</v>
      </c>
    </row>
    <row r="24" spans="1:18" ht="45">
      <c r="A24" s="62" t="s">
        <v>656</v>
      </c>
      <c r="B24" s="350" t="s">
        <v>451</v>
      </c>
      <c r="C24" s="367">
        <f>'RICON_RICON-S-EK_GIGANT_WALCO '!C195</f>
        <v>18</v>
      </c>
      <c r="D24" s="367">
        <f>'RICON_RICON-S-EK_GIGANT_WALCO '!F195</f>
        <v>18.208706420846653</v>
      </c>
      <c r="E24" s="279">
        <f t="shared" si="0"/>
        <v>8.4040183480830706</v>
      </c>
      <c r="F24" s="279">
        <f t="shared" si="0"/>
        <v>9.8046880727635806</v>
      </c>
      <c r="G24" s="279">
        <f t="shared" si="0"/>
        <v>11.205357797444094</v>
      </c>
      <c r="H24" s="279">
        <f t="shared" si="0"/>
        <v>12.606027522124606</v>
      </c>
      <c r="I24" s="279">
        <f t="shared" si="0"/>
        <v>14.006697246805118</v>
      </c>
      <c r="K24" s="62" t="s">
        <v>402</v>
      </c>
      <c r="L24" s="279">
        <f>'RICON_RICON-S-EK_GIGANT_WALCO '!C195</f>
        <v>18</v>
      </c>
      <c r="M24" s="279">
        <f>'RICON_RICON-S-EK_GIGANT_WALCO '!F195</f>
        <v>18.208706420846653</v>
      </c>
      <c r="N24" s="279">
        <f t="shared" si="1"/>
        <v>8.4040183480830706</v>
      </c>
      <c r="O24" s="279">
        <f t="shared" si="1"/>
        <v>9.8046880727635806</v>
      </c>
      <c r="P24" s="279">
        <f t="shared" si="1"/>
        <v>11.205357797444094</v>
      </c>
      <c r="Q24" s="279">
        <f t="shared" si="1"/>
        <v>12.606027522124606</v>
      </c>
      <c r="R24" s="279">
        <f t="shared" si="1"/>
        <v>14.006697246805118</v>
      </c>
    </row>
    <row r="25" spans="1:18" ht="45">
      <c r="A25" s="62" t="s">
        <v>657</v>
      </c>
      <c r="B25" s="350" t="s">
        <v>465</v>
      </c>
      <c r="C25" s="367">
        <f>'RICON_RICON-S-EK_GIGANT_WALCO '!C198</f>
        <v>18</v>
      </c>
      <c r="D25" s="367">
        <f>'RICON_RICON-S-EK_GIGANT_WALCO '!F198</f>
        <v>19.321640441339383</v>
      </c>
      <c r="E25" s="279">
        <f t="shared" si="0"/>
        <v>8.9176802036950988</v>
      </c>
      <c r="F25" s="279">
        <f t="shared" si="0"/>
        <v>10.403960237644283</v>
      </c>
      <c r="G25" s="279">
        <f t="shared" si="0"/>
        <v>11.890240271593468</v>
      </c>
      <c r="H25" s="279">
        <f t="shared" si="0"/>
        <v>13.37652030554265</v>
      </c>
      <c r="I25" s="279">
        <f t="shared" si="0"/>
        <v>14.862800339491832</v>
      </c>
      <c r="K25" s="256" t="s">
        <v>403</v>
      </c>
      <c r="L25" s="279">
        <f>'RICON_RICON-S-EK_GIGANT_WALCO '!C198</f>
        <v>18</v>
      </c>
      <c r="M25" s="279">
        <f>'RICON_RICON-S-EK_GIGANT_WALCO '!F198</f>
        <v>19.321640441339383</v>
      </c>
      <c r="N25" s="279">
        <f t="shared" si="1"/>
        <v>8.9176802036950988</v>
      </c>
      <c r="O25" s="279">
        <f t="shared" si="1"/>
        <v>10.403960237644283</v>
      </c>
      <c r="P25" s="279">
        <f t="shared" si="1"/>
        <v>11.890240271593468</v>
      </c>
      <c r="Q25" s="279">
        <f t="shared" si="1"/>
        <v>13.37652030554265</v>
      </c>
      <c r="R25" s="279">
        <f t="shared" si="1"/>
        <v>14.862800339491832</v>
      </c>
    </row>
    <row r="26" spans="1:18" ht="45">
      <c r="A26" s="62" t="s">
        <v>658</v>
      </c>
      <c r="B26" s="350" t="s">
        <v>451</v>
      </c>
      <c r="C26" s="367">
        <f>'RICON_RICON-S-EK_GIGANT_WALCO '!C199</f>
        <v>18</v>
      </c>
      <c r="D26" s="367">
        <f>'RICON_RICON-S-EK_GIGANT_WALCO '!F199</f>
        <v>22.049116849895228</v>
      </c>
      <c r="E26" s="279">
        <f t="shared" si="0"/>
        <v>10.176515469182412</v>
      </c>
      <c r="F26" s="279">
        <f t="shared" si="0"/>
        <v>11.872601380712814</v>
      </c>
      <c r="G26" s="279">
        <f t="shared" si="0"/>
        <v>13.568687292243217</v>
      </c>
      <c r="H26" s="279">
        <f t="shared" si="0"/>
        <v>15.264773203773618</v>
      </c>
      <c r="I26" s="279">
        <f t="shared" si="0"/>
        <v>16.960859115304022</v>
      </c>
      <c r="K26" s="256" t="s">
        <v>404</v>
      </c>
      <c r="L26" s="279">
        <f>'RICON_RICON-S-EK_GIGANT_WALCO '!C199</f>
        <v>18</v>
      </c>
      <c r="M26" s="279">
        <f>'RICON_RICON-S-EK_GIGANT_WALCO '!F199</f>
        <v>22.049116849895228</v>
      </c>
      <c r="N26" s="279">
        <f t="shared" si="1"/>
        <v>10.176515469182412</v>
      </c>
      <c r="O26" s="279">
        <f t="shared" si="1"/>
        <v>11.872601380712814</v>
      </c>
      <c r="P26" s="279">
        <f t="shared" si="1"/>
        <v>13.568687292243217</v>
      </c>
      <c r="Q26" s="279">
        <f t="shared" si="1"/>
        <v>15.264773203773618</v>
      </c>
      <c r="R26" s="279">
        <f t="shared" si="1"/>
        <v>16.960859115304022</v>
      </c>
    </row>
    <row r="27" spans="1:18" ht="45">
      <c r="A27" s="62" t="s">
        <v>660</v>
      </c>
      <c r="B27" s="350" t="s">
        <v>451</v>
      </c>
      <c r="C27" s="367">
        <f>'RICON_RICON-S-EK_GIGANT_WALCO '!C200</f>
        <v>11</v>
      </c>
      <c r="D27" s="367">
        <f>'RICON_RICON-S-EK_GIGANT_WALCO '!F200</f>
        <v>12.311939384212835</v>
      </c>
      <c r="E27" s="279">
        <f t="shared" si="0"/>
        <v>5.6824335619443849</v>
      </c>
      <c r="F27" s="279">
        <f t="shared" si="0"/>
        <v>6.6295058222684489</v>
      </c>
      <c r="G27" s="279">
        <f t="shared" si="0"/>
        <v>7.5765780825925138</v>
      </c>
      <c r="H27" s="279">
        <f t="shared" si="0"/>
        <v>8.5236503429165786</v>
      </c>
      <c r="I27" s="279">
        <f t="shared" si="0"/>
        <v>9.4707226032406417</v>
      </c>
      <c r="K27" s="62" t="s">
        <v>405</v>
      </c>
      <c r="L27" s="279">
        <f>'RICON_RICON-S-EK_GIGANT_WALCO '!C200</f>
        <v>11</v>
      </c>
      <c r="M27" s="279">
        <f>'RICON_RICON-S-EK_GIGANT_WALCO '!F200</f>
        <v>12.311939384212835</v>
      </c>
      <c r="N27" s="279">
        <f t="shared" si="1"/>
        <v>5.6824335619443849</v>
      </c>
      <c r="O27" s="279">
        <f t="shared" si="1"/>
        <v>6.6295058222684489</v>
      </c>
      <c r="P27" s="279">
        <f t="shared" si="1"/>
        <v>7.5765780825925138</v>
      </c>
      <c r="Q27" s="279">
        <f t="shared" si="1"/>
        <v>8.5236503429165786</v>
      </c>
      <c r="R27" s="279">
        <f t="shared" si="1"/>
        <v>9.4707226032406417</v>
      </c>
    </row>
    <row r="28" spans="1:18" ht="45">
      <c r="A28" s="62" t="s">
        <v>659</v>
      </c>
      <c r="B28" s="350" t="s">
        <v>452</v>
      </c>
      <c r="C28" s="367">
        <f>'RICON_RICON-S-EK_GIGANT_WALCO '!C201</f>
        <v>14</v>
      </c>
      <c r="D28" s="367">
        <f>'RICON_RICON-S-EK_GIGANT_WALCO '!F201</f>
        <v>17.766892201324524</v>
      </c>
      <c r="E28" s="279">
        <f t="shared" si="0"/>
        <v>8.2001040929190108</v>
      </c>
      <c r="F28" s="279">
        <f t="shared" si="0"/>
        <v>9.5667881084055111</v>
      </c>
      <c r="G28" s="279">
        <f t="shared" si="0"/>
        <v>10.933472123892015</v>
      </c>
      <c r="H28" s="279">
        <f t="shared" si="0"/>
        <v>12.300156139378517</v>
      </c>
      <c r="I28" s="279">
        <f t="shared" si="0"/>
        <v>13.666840154865017</v>
      </c>
      <c r="K28" s="62" t="s">
        <v>406</v>
      </c>
      <c r="L28" s="279">
        <f>'RICON_RICON-S-EK_GIGANT_WALCO '!C201</f>
        <v>14</v>
      </c>
      <c r="M28" s="279">
        <f>'RICON_RICON-S-EK_GIGANT_WALCO '!F201</f>
        <v>17.766892201324524</v>
      </c>
      <c r="N28" s="279">
        <f t="shared" si="1"/>
        <v>8.2001040929190108</v>
      </c>
      <c r="O28" s="279">
        <f t="shared" si="1"/>
        <v>9.5667881084055111</v>
      </c>
      <c r="P28" s="279">
        <f t="shared" si="1"/>
        <v>10.933472123892015</v>
      </c>
      <c r="Q28" s="279">
        <f t="shared" si="1"/>
        <v>12.300156139378517</v>
      </c>
      <c r="R28" s="279">
        <f t="shared" si="1"/>
        <v>13.666840154865017</v>
      </c>
    </row>
    <row r="29" spans="1:18" ht="45">
      <c r="A29" s="62" t="s">
        <v>663</v>
      </c>
      <c r="B29" s="350" t="s">
        <v>453</v>
      </c>
      <c r="C29" s="367">
        <f>'RICON_RICON-S-EK_GIGANT_WALCO '!C202</f>
        <v>18</v>
      </c>
      <c r="D29" s="367">
        <f>'RICON_RICON-S-EK_GIGANT_WALCO '!F202</f>
        <v>23.221845018436213</v>
      </c>
      <c r="E29" s="279">
        <f t="shared" si="0"/>
        <v>10.717774623893636</v>
      </c>
      <c r="F29" s="279">
        <f t="shared" si="0"/>
        <v>12.504070394542575</v>
      </c>
      <c r="G29" s="279">
        <f t="shared" si="0"/>
        <v>14.290366165191516</v>
      </c>
      <c r="H29" s="279">
        <f t="shared" si="0"/>
        <v>16.076661935840455</v>
      </c>
      <c r="I29" s="279">
        <f t="shared" si="0"/>
        <v>17.862957706489393</v>
      </c>
      <c r="K29" s="62" t="s">
        <v>407</v>
      </c>
      <c r="L29" s="279">
        <f>'RICON_RICON-S-EK_GIGANT_WALCO '!C202</f>
        <v>18</v>
      </c>
      <c r="M29" s="279">
        <f>'RICON_RICON-S-EK_GIGANT_WALCO '!F202</f>
        <v>23.221845018436213</v>
      </c>
      <c r="N29" s="279">
        <f t="shared" si="1"/>
        <v>10.717774623893636</v>
      </c>
      <c r="O29" s="279">
        <f t="shared" si="1"/>
        <v>12.504070394542575</v>
      </c>
      <c r="P29" s="279">
        <f t="shared" si="1"/>
        <v>14.290366165191516</v>
      </c>
      <c r="Q29" s="279">
        <f t="shared" si="1"/>
        <v>16.076661935840455</v>
      </c>
      <c r="R29" s="279">
        <f t="shared" si="1"/>
        <v>17.862957706489393</v>
      </c>
    </row>
    <row r="30" spans="1:18" ht="45">
      <c r="A30" s="62" t="s">
        <v>662</v>
      </c>
      <c r="B30" s="350" t="s">
        <v>454</v>
      </c>
      <c r="C30" s="367">
        <f>'RICON_RICON-S-EK_GIGANT_WALCO '!C203</f>
        <v>18</v>
      </c>
      <c r="D30" s="367">
        <f>'RICON_RICON-S-EK_GIGANT_WALCO '!F203</f>
        <v>28.676797835547902</v>
      </c>
      <c r="E30" s="279">
        <f t="shared" si="0"/>
        <v>13.235445154868261</v>
      </c>
      <c r="F30" s="279">
        <f t="shared" si="0"/>
        <v>15.441352680679639</v>
      </c>
      <c r="G30" s="279">
        <f t="shared" si="0"/>
        <v>17.647260206491016</v>
      </c>
      <c r="H30" s="279">
        <f t="shared" si="0"/>
        <v>18</v>
      </c>
      <c r="I30" s="279">
        <f t="shared" si="0"/>
        <v>18</v>
      </c>
      <c r="K30" s="62" t="s">
        <v>408</v>
      </c>
      <c r="L30" s="279">
        <f>'RICON_RICON-S-EK_GIGANT_WALCO '!C203</f>
        <v>18</v>
      </c>
      <c r="M30" s="279">
        <f>'RICON_RICON-S-EK_GIGANT_WALCO '!F203</f>
        <v>28.676797835547902</v>
      </c>
      <c r="N30" s="279">
        <f t="shared" si="1"/>
        <v>13.235445154868261</v>
      </c>
      <c r="O30" s="279">
        <f t="shared" si="1"/>
        <v>15.441352680679639</v>
      </c>
      <c r="P30" s="279">
        <f t="shared" si="1"/>
        <v>17.647260206491016</v>
      </c>
      <c r="Q30" s="279">
        <f t="shared" si="1"/>
        <v>18</v>
      </c>
      <c r="R30" s="279">
        <f t="shared" si="1"/>
        <v>18</v>
      </c>
    </row>
    <row r="31" spans="1:18" ht="45">
      <c r="A31" s="62" t="s">
        <v>661</v>
      </c>
      <c r="B31" s="350" t="s">
        <v>455</v>
      </c>
      <c r="C31" s="367">
        <f>'RICON_RICON-S-EK_GIGANT_WALCO '!C204</f>
        <v>18</v>
      </c>
      <c r="D31" s="367">
        <f>'RICON_RICON-S-EK_GIGANT_WALCO '!F204</f>
        <v>34.131750652659591</v>
      </c>
      <c r="E31" s="279">
        <f t="shared" si="0"/>
        <v>15.753115685842886</v>
      </c>
      <c r="F31" s="279">
        <f t="shared" si="0"/>
        <v>18</v>
      </c>
      <c r="G31" s="279">
        <f t="shared" si="0"/>
        <v>18</v>
      </c>
      <c r="H31" s="279">
        <f t="shared" si="0"/>
        <v>18</v>
      </c>
      <c r="I31" s="279">
        <f t="shared" si="0"/>
        <v>18</v>
      </c>
      <c r="K31" s="62" t="s">
        <v>409</v>
      </c>
      <c r="L31" s="279">
        <f>'RICON_RICON-S-EK_GIGANT_WALCO '!C204</f>
        <v>18</v>
      </c>
      <c r="M31" s="279">
        <f>'RICON_RICON-S-EK_GIGANT_WALCO '!F204</f>
        <v>34.131750652659591</v>
      </c>
      <c r="N31" s="279">
        <f t="shared" si="1"/>
        <v>15.753115685842886</v>
      </c>
      <c r="O31" s="279">
        <f t="shared" si="1"/>
        <v>18</v>
      </c>
      <c r="P31" s="279">
        <f t="shared" si="1"/>
        <v>18</v>
      </c>
      <c r="Q31" s="279">
        <f t="shared" si="1"/>
        <v>18</v>
      </c>
      <c r="R31" s="279">
        <f t="shared" si="1"/>
        <v>18</v>
      </c>
    </row>
    <row r="32" spans="1:18">
      <c r="A32" s="68"/>
      <c r="B32" s="351"/>
      <c r="C32" s="338"/>
      <c r="D32" s="338"/>
      <c r="E32" s="338"/>
      <c r="F32" s="338"/>
      <c r="G32" s="338"/>
      <c r="H32" s="338"/>
      <c r="I32" s="338"/>
      <c r="K32" s="68"/>
      <c r="L32" s="338"/>
      <c r="M32" s="338"/>
      <c r="N32" s="338"/>
      <c r="O32" s="338"/>
      <c r="P32" s="338"/>
      <c r="Q32" s="338"/>
      <c r="R32" s="338"/>
    </row>
    <row r="33" spans="1:18">
      <c r="A33" s="68"/>
      <c r="B33" s="351"/>
      <c r="C33" s="338"/>
      <c r="D33" s="338"/>
      <c r="E33" s="338"/>
      <c r="F33" s="338"/>
      <c r="G33" s="338"/>
      <c r="H33" s="338"/>
      <c r="I33" s="338"/>
      <c r="K33" s="68"/>
      <c r="L33" s="338"/>
      <c r="M33" s="338"/>
      <c r="N33" s="338"/>
      <c r="O33" s="338"/>
      <c r="P33" s="338"/>
      <c r="Q33" s="338"/>
      <c r="R33" s="338"/>
    </row>
    <row r="34" spans="1:18">
      <c r="A34" s="68"/>
      <c r="B34" s="351"/>
      <c r="C34" s="338"/>
      <c r="D34" s="338"/>
      <c r="E34" s="338"/>
      <c r="F34" s="338"/>
      <c r="G34" s="338"/>
      <c r="H34" s="338"/>
      <c r="I34" s="338"/>
      <c r="K34" s="68"/>
      <c r="L34" s="338"/>
      <c r="M34" s="338"/>
      <c r="N34" s="338"/>
      <c r="O34" s="338"/>
      <c r="P34" s="338"/>
      <c r="Q34" s="338"/>
      <c r="R34" s="338"/>
    </row>
    <row r="35" spans="1:18">
      <c r="A35" s="68"/>
      <c r="B35" s="68"/>
      <c r="C35" s="338"/>
      <c r="D35" s="338"/>
      <c r="E35" s="338"/>
      <c r="F35" s="338"/>
      <c r="G35" s="338"/>
      <c r="H35" s="338"/>
      <c r="I35" s="338"/>
      <c r="K35" s="68"/>
      <c r="L35" s="338"/>
      <c r="M35" s="338"/>
      <c r="N35" s="338"/>
      <c r="O35" s="338"/>
      <c r="P35" s="338"/>
      <c r="Q35" s="338"/>
      <c r="R35" s="338"/>
    </row>
    <row r="36" spans="1:18">
      <c r="A36" s="68"/>
      <c r="B36" s="68"/>
      <c r="C36" s="338"/>
      <c r="D36" s="338"/>
      <c r="E36" s="338"/>
      <c r="F36" s="338"/>
      <c r="G36" s="338"/>
      <c r="H36" s="338"/>
      <c r="I36" s="338"/>
      <c r="K36" s="68"/>
      <c r="L36" s="338"/>
      <c r="M36" s="338"/>
      <c r="N36" s="338"/>
      <c r="O36" s="338"/>
      <c r="P36" s="338"/>
      <c r="Q36" s="338"/>
      <c r="R36" s="338"/>
    </row>
    <row r="37" spans="1:18">
      <c r="A37" s="68"/>
      <c r="B37" s="68"/>
      <c r="C37" s="338"/>
      <c r="D37" s="338"/>
      <c r="E37" s="338"/>
      <c r="F37" s="338"/>
      <c r="G37" s="338"/>
      <c r="H37" s="338"/>
      <c r="I37" s="338"/>
      <c r="K37" s="68"/>
      <c r="L37" s="338"/>
      <c r="M37" s="338"/>
      <c r="N37" s="338"/>
      <c r="O37" s="338"/>
      <c r="P37" s="338"/>
      <c r="Q37" s="338"/>
      <c r="R37" s="338"/>
    </row>
    <row r="38" spans="1:18">
      <c r="A38" s="68"/>
      <c r="B38" s="68"/>
      <c r="C38" s="338"/>
      <c r="D38" s="338"/>
      <c r="E38" s="338"/>
      <c r="F38" s="338"/>
      <c r="G38" s="338"/>
      <c r="H38" s="338"/>
      <c r="I38" s="338"/>
      <c r="K38" s="68"/>
      <c r="L38" s="338"/>
      <c r="M38" s="338"/>
      <c r="N38" s="338"/>
      <c r="O38" s="338"/>
      <c r="P38" s="338"/>
      <c r="Q38" s="338"/>
      <c r="R38" s="338"/>
    </row>
    <row r="39" spans="1:18" ht="33.75">
      <c r="A39" s="776" t="s">
        <v>635</v>
      </c>
      <c r="B39" s="776"/>
      <c r="C39" s="369"/>
      <c r="D39" s="369"/>
      <c r="E39" s="369"/>
      <c r="F39" s="369"/>
      <c r="G39" s="369"/>
      <c r="H39" s="369"/>
      <c r="I39" s="369"/>
      <c r="J39" s="369"/>
      <c r="K39" s="792" t="s">
        <v>442</v>
      </c>
      <c r="L39" s="792"/>
      <c r="M39" s="792"/>
      <c r="N39" s="792"/>
      <c r="O39" s="792"/>
      <c r="P39" s="792"/>
      <c r="Q39" s="792"/>
      <c r="R39" s="792"/>
    </row>
    <row r="40" spans="1:18" s="372" customFormat="1" ht="21">
      <c r="A40" s="337" t="s">
        <v>632</v>
      </c>
      <c r="B40" s="337"/>
      <c r="C40" s="337"/>
      <c r="D40" s="362" t="s">
        <v>634</v>
      </c>
      <c r="E40" s="400" t="s">
        <v>25</v>
      </c>
      <c r="F40" s="339"/>
      <c r="G40" s="391" t="str">
        <f>VLOOKUP(E40,'RICON_RICON-S-EK_GIGANT_WALCO '!V7:AB16,4,FALSE)</f>
        <v>Brettschichtholz homogen</v>
      </c>
      <c r="H40" s="362"/>
      <c r="I40" s="339"/>
      <c r="K40" s="373"/>
      <c r="L40" s="373"/>
      <c r="M40" s="373"/>
      <c r="N40" s="373"/>
      <c r="O40" s="373"/>
      <c r="P40" s="373"/>
      <c r="Q40" s="373"/>
      <c r="R40" s="373"/>
    </row>
    <row r="41" spans="1:18" s="372" customFormat="1" ht="21">
      <c r="D41" s="362" t="s">
        <v>633</v>
      </c>
      <c r="E41" s="400">
        <v>1</v>
      </c>
      <c r="F41" s="339"/>
      <c r="G41" s="391" t="str">
        <f>VLOOKUP(Belastungsblatt_RICON_DE!E41,'RICON_RICON-S-EK_GIGANT_WALCO '!V27:AA29,3,FALSE)</f>
        <v>Innenbereich</v>
      </c>
      <c r="H41" s="339"/>
      <c r="I41" s="339"/>
      <c r="J41" s="339"/>
      <c r="K41" s="372" t="s">
        <v>628</v>
      </c>
    </row>
    <row r="42" spans="1:18" ht="21" customHeight="1">
      <c r="A42" s="336"/>
      <c r="B42" s="336"/>
      <c r="K42" s="336" t="s">
        <v>422</v>
      </c>
    </row>
    <row r="43" spans="1:18" s="375" customFormat="1" ht="12.75" customHeight="1">
      <c r="A43" s="374" t="s">
        <v>2</v>
      </c>
      <c r="B43" s="393" t="s">
        <v>581</v>
      </c>
      <c r="C43" s="793" t="s">
        <v>423</v>
      </c>
      <c r="D43" s="793"/>
      <c r="E43" s="797" t="str">
        <f>"Design values F2,Rd for "&amp;E40&amp;" [kN]"</f>
        <v>Design values F2,Rd for GL24h [kN]</v>
      </c>
      <c r="F43" s="798"/>
      <c r="G43" s="798"/>
      <c r="H43" s="798"/>
      <c r="I43" s="402" t="s">
        <v>649</v>
      </c>
      <c r="K43" s="374" t="s">
        <v>386</v>
      </c>
      <c r="L43" s="793" t="s">
        <v>423</v>
      </c>
      <c r="M43" s="793"/>
      <c r="N43" s="794" t="s">
        <v>421</v>
      </c>
      <c r="O43" s="795"/>
      <c r="P43" s="795"/>
      <c r="Q43" s="795"/>
      <c r="R43" s="796"/>
    </row>
    <row r="44" spans="1:18" s="375" customFormat="1" ht="12.75">
      <c r="A44" s="376" t="s">
        <v>317</v>
      </c>
      <c r="B44" s="395" t="s">
        <v>580</v>
      </c>
      <c r="C44" s="403" t="s">
        <v>384</v>
      </c>
      <c r="D44" s="403" t="s">
        <v>385</v>
      </c>
      <c r="E44" s="377">
        <v>0.6</v>
      </c>
      <c r="F44" s="377">
        <v>0.7</v>
      </c>
      <c r="G44" s="377">
        <v>0.8</v>
      </c>
      <c r="H44" s="377">
        <v>0.9</v>
      </c>
      <c r="I44" s="377">
        <v>1</v>
      </c>
      <c r="K44" s="376" t="s">
        <v>317</v>
      </c>
      <c r="L44" s="378" t="s">
        <v>384</v>
      </c>
      <c r="M44" s="378" t="s">
        <v>385</v>
      </c>
      <c r="N44" s="377">
        <v>0.6</v>
      </c>
      <c r="O44" s="377">
        <v>0.7</v>
      </c>
      <c r="P44" s="377">
        <v>0.8</v>
      </c>
      <c r="Q44" s="377">
        <v>0.9</v>
      </c>
      <c r="R44" s="377">
        <v>1</v>
      </c>
    </row>
    <row r="45" spans="1:18" s="375" customFormat="1" ht="38.25" hidden="1">
      <c r="A45" s="379" t="s">
        <v>503</v>
      </c>
      <c r="B45" s="380" t="s">
        <v>459</v>
      </c>
      <c r="C45" s="381">
        <f>RICON_Edelstahl!C120</f>
        <v>4.5</v>
      </c>
      <c r="D45" s="381">
        <f>RICON_Edelstahl!F120</f>
        <v>5.1804296195027444</v>
      </c>
      <c r="E45" s="382">
        <f t="shared" ref="E45:I68" si="2">MIN($C45/1,$D45*E$44/1.3)</f>
        <v>2.3909675166935744</v>
      </c>
      <c r="F45" s="382">
        <f t="shared" si="2"/>
        <v>2.7894621028091695</v>
      </c>
      <c r="G45" s="382">
        <f t="shared" si="2"/>
        <v>3.1879566889247655</v>
      </c>
      <c r="H45" s="382">
        <f t="shared" si="2"/>
        <v>3.5864512750403614</v>
      </c>
      <c r="I45" s="382">
        <f t="shared" si="2"/>
        <v>3.9849458611559569</v>
      </c>
      <c r="K45" s="379" t="s">
        <v>358</v>
      </c>
      <c r="L45" s="382">
        <f>RICON_Edelstahl!C120</f>
        <v>4.5</v>
      </c>
      <c r="M45" s="382">
        <f>RICON_Edelstahl!F120</f>
        <v>5.1804296195027444</v>
      </c>
      <c r="N45" s="382">
        <f t="shared" ref="N45:R68" si="3">MIN($C45/1,$D45*N$44/1.3)</f>
        <v>2.3909675166935744</v>
      </c>
      <c r="O45" s="382">
        <f t="shared" si="3"/>
        <v>2.7894621028091695</v>
      </c>
      <c r="P45" s="382">
        <f t="shared" si="3"/>
        <v>3.1879566889247655</v>
      </c>
      <c r="Q45" s="382">
        <f t="shared" si="3"/>
        <v>3.5864512750403614</v>
      </c>
      <c r="R45" s="382">
        <f t="shared" si="3"/>
        <v>3.9849458611559569</v>
      </c>
    </row>
    <row r="46" spans="1:18" s="375" customFormat="1" ht="38.25">
      <c r="A46" s="379" t="s">
        <v>664</v>
      </c>
      <c r="B46" s="380" t="s">
        <v>462</v>
      </c>
      <c r="C46" s="381">
        <f>RICON_Edelstahl!C121</f>
        <v>8.1999999999999993</v>
      </c>
      <c r="D46" s="381">
        <f>RICON_Edelstahl!F121</f>
        <v>7.5161100233272613</v>
      </c>
      <c r="E46" s="382">
        <f t="shared" si="2"/>
        <v>3.4689738569202739</v>
      </c>
      <c r="F46" s="382">
        <f t="shared" si="2"/>
        <v>4.0471361664069869</v>
      </c>
      <c r="G46" s="382">
        <f t="shared" si="2"/>
        <v>4.6252984758936995</v>
      </c>
      <c r="H46" s="382">
        <f t="shared" si="2"/>
        <v>5.203460785380412</v>
      </c>
      <c r="I46" s="382">
        <f t="shared" si="2"/>
        <v>5.7816230948671237</v>
      </c>
      <c r="K46" s="379" t="s">
        <v>359</v>
      </c>
      <c r="L46" s="382">
        <f>RICON_Edelstahl!C121</f>
        <v>8.1999999999999993</v>
      </c>
      <c r="M46" s="382">
        <f>RICON_Edelstahl!F121</f>
        <v>7.5161100233272613</v>
      </c>
      <c r="N46" s="382">
        <f t="shared" si="3"/>
        <v>3.4689738569202739</v>
      </c>
      <c r="O46" s="382">
        <f t="shared" si="3"/>
        <v>4.0471361664069869</v>
      </c>
      <c r="P46" s="382">
        <f t="shared" si="3"/>
        <v>4.6252984758936995</v>
      </c>
      <c r="Q46" s="382">
        <f t="shared" si="3"/>
        <v>5.203460785380412</v>
      </c>
      <c r="R46" s="382">
        <f t="shared" si="3"/>
        <v>5.7816230948671237</v>
      </c>
    </row>
    <row r="47" spans="1:18" s="375" customFormat="1" ht="38.25" hidden="1">
      <c r="A47" s="379" t="s">
        <v>507</v>
      </c>
      <c r="B47" s="380" t="s">
        <v>463</v>
      </c>
      <c r="C47" s="381">
        <f>RICON_Edelstahl!C122</f>
        <v>10.4</v>
      </c>
      <c r="D47" s="381">
        <f>RICON_Edelstahl!F122</f>
        <v>10.360859239005489</v>
      </c>
      <c r="E47" s="382">
        <f t="shared" si="2"/>
        <v>4.7819350333871489</v>
      </c>
      <c r="F47" s="382">
        <f t="shared" si="2"/>
        <v>5.578924205618339</v>
      </c>
      <c r="G47" s="382">
        <f t="shared" si="2"/>
        <v>6.3759133778495309</v>
      </c>
      <c r="H47" s="382">
        <f t="shared" si="2"/>
        <v>7.1729025500807229</v>
      </c>
      <c r="I47" s="382">
        <f t="shared" si="2"/>
        <v>7.9698917223119139</v>
      </c>
      <c r="K47" s="379" t="s">
        <v>360</v>
      </c>
      <c r="L47" s="382">
        <f>RICON_Edelstahl!C122</f>
        <v>10.4</v>
      </c>
      <c r="M47" s="382">
        <f>RICON_Edelstahl!F122</f>
        <v>10.360859239005489</v>
      </c>
      <c r="N47" s="382">
        <f t="shared" si="3"/>
        <v>4.7819350333871489</v>
      </c>
      <c r="O47" s="382">
        <f t="shared" si="3"/>
        <v>5.578924205618339</v>
      </c>
      <c r="P47" s="382">
        <f t="shared" si="3"/>
        <v>6.3759133778495309</v>
      </c>
      <c r="Q47" s="382">
        <f t="shared" si="3"/>
        <v>7.1729025500807229</v>
      </c>
      <c r="R47" s="382">
        <f t="shared" si="3"/>
        <v>7.9698917223119139</v>
      </c>
    </row>
    <row r="48" spans="1:18" s="375" customFormat="1" ht="38.25" hidden="1">
      <c r="A48" s="379" t="s">
        <v>509</v>
      </c>
      <c r="B48" s="380" t="s">
        <v>464</v>
      </c>
      <c r="C48" s="381">
        <f>RICON_Edelstahl!C123</f>
        <v>13.4</v>
      </c>
      <c r="D48" s="381">
        <f>RICON_Edelstahl!F123</f>
        <v>13.205608454683714</v>
      </c>
      <c r="E48" s="382">
        <f t="shared" si="2"/>
        <v>6.0948962098540216</v>
      </c>
      <c r="F48" s="382">
        <f t="shared" si="2"/>
        <v>7.1107122448296911</v>
      </c>
      <c r="G48" s="382">
        <f t="shared" si="2"/>
        <v>8.1265282798053633</v>
      </c>
      <c r="H48" s="382">
        <f t="shared" si="2"/>
        <v>9.1423443147810328</v>
      </c>
      <c r="I48" s="382">
        <f t="shared" si="2"/>
        <v>10.158160349756702</v>
      </c>
      <c r="K48" s="379" t="s">
        <v>361</v>
      </c>
      <c r="L48" s="382">
        <f>RICON_Edelstahl!C123</f>
        <v>13.4</v>
      </c>
      <c r="M48" s="382">
        <f>RICON_Edelstahl!F123</f>
        <v>13.205608454683714</v>
      </c>
      <c r="N48" s="382">
        <f t="shared" si="3"/>
        <v>6.0948962098540216</v>
      </c>
      <c r="O48" s="382">
        <f t="shared" si="3"/>
        <v>7.1107122448296911</v>
      </c>
      <c r="P48" s="382">
        <f t="shared" si="3"/>
        <v>8.1265282798053633</v>
      </c>
      <c r="Q48" s="382">
        <f t="shared" si="3"/>
        <v>9.1423443147810328</v>
      </c>
      <c r="R48" s="382">
        <f t="shared" si="3"/>
        <v>10.158160349756702</v>
      </c>
    </row>
    <row r="49" spans="1:18" s="375" customFormat="1" ht="38.25" hidden="1">
      <c r="A49" s="379" t="s">
        <v>511</v>
      </c>
      <c r="B49" s="380" t="s">
        <v>465</v>
      </c>
      <c r="C49" s="381">
        <f>RICON_Edelstahl!C124</f>
        <v>13.4</v>
      </c>
      <c r="D49" s="381">
        <f>RICON_Edelstahl!F124</f>
        <v>16.05035767036194</v>
      </c>
      <c r="E49" s="382">
        <f t="shared" si="2"/>
        <v>7.4078573863208952</v>
      </c>
      <c r="F49" s="382">
        <f t="shared" si="2"/>
        <v>8.6425002840410432</v>
      </c>
      <c r="G49" s="382">
        <f t="shared" si="2"/>
        <v>9.8771431817611948</v>
      </c>
      <c r="H49" s="382">
        <f t="shared" si="2"/>
        <v>11.111786079481343</v>
      </c>
      <c r="I49" s="382">
        <f t="shared" si="2"/>
        <v>12.346428977201493</v>
      </c>
      <c r="K49" s="379" t="s">
        <v>362</v>
      </c>
      <c r="L49" s="382">
        <f>RICON_Edelstahl!C124</f>
        <v>13.4</v>
      </c>
      <c r="M49" s="382">
        <f>RICON_Edelstahl!F124</f>
        <v>16.05035767036194</v>
      </c>
      <c r="N49" s="382">
        <f t="shared" si="3"/>
        <v>7.4078573863208952</v>
      </c>
      <c r="O49" s="382">
        <f t="shared" si="3"/>
        <v>8.6425002840410432</v>
      </c>
      <c r="P49" s="382">
        <f t="shared" si="3"/>
        <v>9.8771431817611948</v>
      </c>
      <c r="Q49" s="382">
        <f t="shared" si="3"/>
        <v>11.111786079481343</v>
      </c>
      <c r="R49" s="382">
        <f t="shared" si="3"/>
        <v>12.346428977201493</v>
      </c>
    </row>
    <row r="50" spans="1:18" s="375" customFormat="1" ht="38.25">
      <c r="A50" s="379" t="s">
        <v>665</v>
      </c>
      <c r="B50" s="380" t="s">
        <v>451</v>
      </c>
      <c r="C50" s="381">
        <f>RICON_Edelstahl!C125</f>
        <v>13.4</v>
      </c>
      <c r="D50" s="381">
        <f>RICON_Edelstahl!F125</f>
        <v>18.895106886040168</v>
      </c>
      <c r="E50" s="382">
        <f t="shared" si="2"/>
        <v>8.7208185627877697</v>
      </c>
      <c r="F50" s="382">
        <f t="shared" si="2"/>
        <v>10.174288323252396</v>
      </c>
      <c r="G50" s="382">
        <f t="shared" si="2"/>
        <v>11.627758083717026</v>
      </c>
      <c r="H50" s="382">
        <f t="shared" si="2"/>
        <v>13.081227844181655</v>
      </c>
      <c r="I50" s="382">
        <f t="shared" si="2"/>
        <v>13.4</v>
      </c>
      <c r="K50" s="379" t="s">
        <v>363</v>
      </c>
      <c r="L50" s="382">
        <f>RICON_Edelstahl!C125</f>
        <v>13.4</v>
      </c>
      <c r="M50" s="382">
        <f>RICON_Edelstahl!F125</f>
        <v>18.895106886040168</v>
      </c>
      <c r="N50" s="382">
        <f t="shared" si="3"/>
        <v>8.7208185627877697</v>
      </c>
      <c r="O50" s="382">
        <f t="shared" si="3"/>
        <v>10.174288323252396</v>
      </c>
      <c r="P50" s="382">
        <f t="shared" si="3"/>
        <v>11.627758083717026</v>
      </c>
      <c r="Q50" s="382">
        <f t="shared" si="3"/>
        <v>13.081227844181655</v>
      </c>
      <c r="R50" s="382">
        <f t="shared" si="3"/>
        <v>13.4</v>
      </c>
    </row>
    <row r="51" spans="1:18" s="375" customFormat="1" ht="38.25">
      <c r="A51" s="379" t="s">
        <v>666</v>
      </c>
      <c r="B51" s="380" t="s">
        <v>451</v>
      </c>
      <c r="C51" s="381">
        <f>RICON_Edelstahl!C126</f>
        <v>8.1999999999999993</v>
      </c>
      <c r="D51" s="381">
        <f>RICON_Edelstahl!F126</f>
        <v>12.696539642830006</v>
      </c>
      <c r="E51" s="382">
        <f t="shared" si="2"/>
        <v>5.8599413736138484</v>
      </c>
      <c r="F51" s="382">
        <f t="shared" si="2"/>
        <v>6.8365982692161564</v>
      </c>
      <c r="G51" s="382">
        <f t="shared" si="2"/>
        <v>7.8132551648184654</v>
      </c>
      <c r="H51" s="382">
        <f t="shared" si="2"/>
        <v>8.1999999999999993</v>
      </c>
      <c r="I51" s="382">
        <f t="shared" si="2"/>
        <v>8.1999999999999993</v>
      </c>
      <c r="K51" s="379" t="s">
        <v>364</v>
      </c>
      <c r="L51" s="382">
        <f>RICON_Edelstahl!C126</f>
        <v>8.1999999999999993</v>
      </c>
      <c r="M51" s="382">
        <f>RICON_Edelstahl!F126</f>
        <v>12.696539642830006</v>
      </c>
      <c r="N51" s="382">
        <f t="shared" si="3"/>
        <v>5.8599413736138484</v>
      </c>
      <c r="O51" s="382">
        <f t="shared" si="3"/>
        <v>6.8365982692161564</v>
      </c>
      <c r="P51" s="382">
        <f t="shared" si="3"/>
        <v>7.8132551648184654</v>
      </c>
      <c r="Q51" s="382">
        <f t="shared" si="3"/>
        <v>8.1999999999999993</v>
      </c>
      <c r="R51" s="382">
        <f t="shared" si="3"/>
        <v>8.1999999999999993</v>
      </c>
    </row>
    <row r="52" spans="1:18" s="375" customFormat="1" ht="38.25" hidden="1">
      <c r="A52" s="379" t="s">
        <v>517</v>
      </c>
      <c r="B52" s="380" t="s">
        <v>452</v>
      </c>
      <c r="C52" s="381">
        <f>RICON_Edelstahl!C127</f>
        <v>10.4</v>
      </c>
      <c r="D52" s="381">
        <f>RICON_Edelstahl!F127</f>
        <v>18.386038074186459</v>
      </c>
      <c r="E52" s="382">
        <f t="shared" si="2"/>
        <v>8.4858637265475956</v>
      </c>
      <c r="F52" s="382">
        <f t="shared" si="2"/>
        <v>9.9001743476388615</v>
      </c>
      <c r="G52" s="382">
        <f t="shared" si="2"/>
        <v>10.4</v>
      </c>
      <c r="H52" s="382">
        <f t="shared" si="2"/>
        <v>10.4</v>
      </c>
      <c r="I52" s="382">
        <f t="shared" si="2"/>
        <v>10.4</v>
      </c>
      <c r="K52" s="379" t="s">
        <v>365</v>
      </c>
      <c r="L52" s="382">
        <f>RICON_Edelstahl!C127</f>
        <v>10.4</v>
      </c>
      <c r="M52" s="382">
        <f>RICON_Edelstahl!F127</f>
        <v>18.386038074186459</v>
      </c>
      <c r="N52" s="382">
        <f t="shared" si="3"/>
        <v>8.4858637265475956</v>
      </c>
      <c r="O52" s="382">
        <f t="shared" si="3"/>
        <v>9.9001743476388615</v>
      </c>
      <c r="P52" s="382">
        <f t="shared" si="3"/>
        <v>10.4</v>
      </c>
      <c r="Q52" s="382">
        <f t="shared" si="3"/>
        <v>10.4</v>
      </c>
      <c r="R52" s="382">
        <f t="shared" si="3"/>
        <v>10.4</v>
      </c>
    </row>
    <row r="53" spans="1:18" s="375" customFormat="1" ht="38.25" hidden="1">
      <c r="A53" s="379" t="s">
        <v>519</v>
      </c>
      <c r="B53" s="380" t="s">
        <v>453</v>
      </c>
      <c r="C53" s="381">
        <f>RICON_Edelstahl!C128</f>
        <v>13.4</v>
      </c>
      <c r="D53" s="381">
        <f>RICON_Edelstahl!F128</f>
        <v>24.07553650554291</v>
      </c>
      <c r="E53" s="382">
        <f t="shared" si="2"/>
        <v>11.111786079481341</v>
      </c>
      <c r="F53" s="382">
        <f t="shared" si="2"/>
        <v>12.963750426061566</v>
      </c>
      <c r="G53" s="382">
        <f t="shared" si="2"/>
        <v>13.4</v>
      </c>
      <c r="H53" s="382">
        <f t="shared" si="2"/>
        <v>13.4</v>
      </c>
      <c r="I53" s="382">
        <f t="shared" si="2"/>
        <v>13.4</v>
      </c>
      <c r="K53" s="379" t="s">
        <v>366</v>
      </c>
      <c r="L53" s="382">
        <f>RICON_Edelstahl!C128</f>
        <v>13.4</v>
      </c>
      <c r="M53" s="382">
        <f>RICON_Edelstahl!F128</f>
        <v>24.07553650554291</v>
      </c>
      <c r="N53" s="382">
        <f t="shared" si="3"/>
        <v>11.111786079481341</v>
      </c>
      <c r="O53" s="382">
        <f t="shared" si="3"/>
        <v>12.963750426061566</v>
      </c>
      <c r="P53" s="382">
        <f t="shared" si="3"/>
        <v>13.4</v>
      </c>
      <c r="Q53" s="382">
        <f t="shared" si="3"/>
        <v>13.4</v>
      </c>
      <c r="R53" s="382">
        <f t="shared" si="3"/>
        <v>13.4</v>
      </c>
    </row>
    <row r="54" spans="1:18" s="375" customFormat="1" ht="38.25" hidden="1">
      <c r="A54" s="379" t="s">
        <v>521</v>
      </c>
      <c r="B54" s="380" t="s">
        <v>454</v>
      </c>
      <c r="C54" s="381">
        <f>RICON_Edelstahl!C129</f>
        <v>13.4</v>
      </c>
      <c r="D54" s="381">
        <f>RICON_Edelstahl!F129</f>
        <v>29.765034936899362</v>
      </c>
      <c r="E54" s="382">
        <f t="shared" si="2"/>
        <v>13.4</v>
      </c>
      <c r="F54" s="382">
        <f t="shared" si="2"/>
        <v>13.4</v>
      </c>
      <c r="G54" s="382">
        <f t="shared" si="2"/>
        <v>13.4</v>
      </c>
      <c r="H54" s="382">
        <f t="shared" si="2"/>
        <v>13.4</v>
      </c>
      <c r="I54" s="382">
        <f t="shared" si="2"/>
        <v>13.4</v>
      </c>
      <c r="K54" s="379" t="s">
        <v>367</v>
      </c>
      <c r="L54" s="382">
        <f>RICON_Edelstahl!C129</f>
        <v>13.4</v>
      </c>
      <c r="M54" s="382">
        <f>RICON_Edelstahl!F129</f>
        <v>29.765034936899362</v>
      </c>
      <c r="N54" s="382">
        <f t="shared" si="3"/>
        <v>13.4</v>
      </c>
      <c r="O54" s="382">
        <f t="shared" si="3"/>
        <v>13.4</v>
      </c>
      <c r="P54" s="382">
        <f t="shared" si="3"/>
        <v>13.4</v>
      </c>
      <c r="Q54" s="382">
        <f t="shared" si="3"/>
        <v>13.4</v>
      </c>
      <c r="R54" s="382">
        <f t="shared" si="3"/>
        <v>13.4</v>
      </c>
    </row>
    <row r="55" spans="1:18" s="375" customFormat="1" ht="39" thickBot="1">
      <c r="A55" s="383" t="s">
        <v>667</v>
      </c>
      <c r="B55" s="384" t="s">
        <v>455</v>
      </c>
      <c r="C55" s="385">
        <f>RICON_Edelstahl!C130</f>
        <v>13.4</v>
      </c>
      <c r="D55" s="385">
        <f>RICON_Edelstahl!F130</f>
        <v>35.454533368255817</v>
      </c>
      <c r="E55" s="386">
        <f t="shared" si="2"/>
        <v>13.4</v>
      </c>
      <c r="F55" s="386">
        <f t="shared" si="2"/>
        <v>13.4</v>
      </c>
      <c r="G55" s="386">
        <f t="shared" si="2"/>
        <v>13.4</v>
      </c>
      <c r="H55" s="386">
        <f t="shared" si="2"/>
        <v>13.4</v>
      </c>
      <c r="I55" s="386">
        <f t="shared" si="2"/>
        <v>13.4</v>
      </c>
      <c r="K55" s="383" t="s">
        <v>368</v>
      </c>
      <c r="L55" s="386">
        <f>RICON_Edelstahl!C130</f>
        <v>13.4</v>
      </c>
      <c r="M55" s="386">
        <f>RICON_Edelstahl!F130</f>
        <v>35.454533368255817</v>
      </c>
      <c r="N55" s="386">
        <f t="shared" si="3"/>
        <v>13.4</v>
      </c>
      <c r="O55" s="386">
        <f t="shared" si="3"/>
        <v>13.4</v>
      </c>
      <c r="P55" s="386">
        <f t="shared" si="3"/>
        <v>13.4</v>
      </c>
      <c r="Q55" s="386">
        <f t="shared" si="3"/>
        <v>13.4</v>
      </c>
      <c r="R55" s="386">
        <f t="shared" si="3"/>
        <v>13.4</v>
      </c>
    </row>
    <row r="56" spans="1:18" s="375" customFormat="1" ht="39" thickTop="1">
      <c r="A56" s="387" t="s">
        <v>668</v>
      </c>
      <c r="B56" s="380" t="s">
        <v>459</v>
      </c>
      <c r="C56" s="388">
        <f>RICON_Edelstahl!C131</f>
        <v>4.5</v>
      </c>
      <c r="D56" s="388">
        <f>RICON_Edelstahl!F131</f>
        <v>5.1804296195027444</v>
      </c>
      <c r="E56" s="389">
        <f t="shared" si="2"/>
        <v>2.3909675166935744</v>
      </c>
      <c r="F56" s="389">
        <f t="shared" si="2"/>
        <v>2.7894621028091695</v>
      </c>
      <c r="G56" s="389">
        <f t="shared" si="2"/>
        <v>3.1879566889247655</v>
      </c>
      <c r="H56" s="389">
        <f t="shared" si="2"/>
        <v>3.5864512750403614</v>
      </c>
      <c r="I56" s="389">
        <f t="shared" si="2"/>
        <v>3.9849458611559569</v>
      </c>
      <c r="K56" s="387" t="s">
        <v>369</v>
      </c>
      <c r="L56" s="389">
        <f>RICON_Edelstahl!C131</f>
        <v>4.5</v>
      </c>
      <c r="M56" s="389">
        <f>RICON_Edelstahl!F131</f>
        <v>5.1804296195027444</v>
      </c>
      <c r="N56" s="389">
        <f t="shared" si="3"/>
        <v>2.3909675166935744</v>
      </c>
      <c r="O56" s="389">
        <f t="shared" si="3"/>
        <v>2.7894621028091695</v>
      </c>
      <c r="P56" s="389">
        <f t="shared" si="3"/>
        <v>3.1879566889247655</v>
      </c>
      <c r="Q56" s="389">
        <f t="shared" si="3"/>
        <v>3.5864512750403614</v>
      </c>
      <c r="R56" s="389">
        <f t="shared" si="3"/>
        <v>3.9849458611559569</v>
      </c>
    </row>
    <row r="57" spans="1:18" s="375" customFormat="1" ht="38.25">
      <c r="A57" s="379" t="s">
        <v>669</v>
      </c>
      <c r="B57" s="380" t="s">
        <v>462</v>
      </c>
      <c r="C57" s="381">
        <f>RICON_Edelstahl!C132</f>
        <v>8.1999999999999993</v>
      </c>
      <c r="D57" s="381">
        <f>RICON_Edelstahl!F132</f>
        <v>7.5161100233272613</v>
      </c>
      <c r="E57" s="382">
        <f t="shared" si="2"/>
        <v>3.4689738569202739</v>
      </c>
      <c r="F57" s="382">
        <f t="shared" si="2"/>
        <v>4.0471361664069869</v>
      </c>
      <c r="G57" s="382">
        <f t="shared" si="2"/>
        <v>4.6252984758936995</v>
      </c>
      <c r="H57" s="382">
        <f t="shared" si="2"/>
        <v>5.203460785380412</v>
      </c>
      <c r="I57" s="382">
        <f t="shared" si="2"/>
        <v>5.7816230948671237</v>
      </c>
      <c r="K57" s="379" t="s">
        <v>370</v>
      </c>
      <c r="L57" s="382">
        <f>RICON_Edelstahl!C132</f>
        <v>8.1999999999999993</v>
      </c>
      <c r="M57" s="382">
        <f>RICON_Edelstahl!F132</f>
        <v>7.5161100233272613</v>
      </c>
      <c r="N57" s="382">
        <f t="shared" si="3"/>
        <v>3.4689738569202739</v>
      </c>
      <c r="O57" s="382">
        <f t="shared" si="3"/>
        <v>4.0471361664069869</v>
      </c>
      <c r="P57" s="382">
        <f t="shared" si="3"/>
        <v>4.6252984758936995</v>
      </c>
      <c r="Q57" s="382">
        <f t="shared" si="3"/>
        <v>5.203460785380412</v>
      </c>
      <c r="R57" s="382">
        <f t="shared" si="3"/>
        <v>5.7816230948671237</v>
      </c>
    </row>
    <row r="58" spans="1:18" s="375" customFormat="1" ht="38.25">
      <c r="A58" s="379" t="s">
        <v>670</v>
      </c>
      <c r="B58" s="380" t="s">
        <v>463</v>
      </c>
      <c r="C58" s="381">
        <f>RICON_Edelstahl!C133</f>
        <v>10.4</v>
      </c>
      <c r="D58" s="381">
        <f>RICON_Edelstahl!F133</f>
        <v>10.360859239005489</v>
      </c>
      <c r="E58" s="382">
        <f t="shared" si="2"/>
        <v>4.7819350333871489</v>
      </c>
      <c r="F58" s="382">
        <f t="shared" si="2"/>
        <v>5.578924205618339</v>
      </c>
      <c r="G58" s="382">
        <f t="shared" si="2"/>
        <v>6.3759133778495309</v>
      </c>
      <c r="H58" s="382">
        <f t="shared" si="2"/>
        <v>7.1729025500807229</v>
      </c>
      <c r="I58" s="382">
        <f t="shared" si="2"/>
        <v>7.9698917223119139</v>
      </c>
      <c r="K58" s="379" t="s">
        <v>371</v>
      </c>
      <c r="L58" s="382">
        <f>RICON_Edelstahl!C133</f>
        <v>10.4</v>
      </c>
      <c r="M58" s="382">
        <f>RICON_Edelstahl!F133</f>
        <v>10.360859239005489</v>
      </c>
      <c r="N58" s="382">
        <f t="shared" si="3"/>
        <v>4.7819350333871489</v>
      </c>
      <c r="O58" s="382">
        <f t="shared" si="3"/>
        <v>5.578924205618339</v>
      </c>
      <c r="P58" s="382">
        <f t="shared" si="3"/>
        <v>6.3759133778495309</v>
      </c>
      <c r="Q58" s="382">
        <f t="shared" si="3"/>
        <v>7.1729025500807229</v>
      </c>
      <c r="R58" s="382">
        <f t="shared" si="3"/>
        <v>7.9698917223119139</v>
      </c>
    </row>
    <row r="59" spans="1:18" s="375" customFormat="1" ht="38.25">
      <c r="A59" s="379" t="s">
        <v>671</v>
      </c>
      <c r="B59" s="380" t="s">
        <v>464</v>
      </c>
      <c r="C59" s="381">
        <f>RICON_Edelstahl!C134</f>
        <v>13.4</v>
      </c>
      <c r="D59" s="381">
        <f>RICON_Edelstahl!F134</f>
        <v>13.205608454683714</v>
      </c>
      <c r="E59" s="382">
        <f t="shared" si="2"/>
        <v>6.0948962098540216</v>
      </c>
      <c r="F59" s="382">
        <f t="shared" si="2"/>
        <v>7.1107122448296911</v>
      </c>
      <c r="G59" s="382">
        <f t="shared" si="2"/>
        <v>8.1265282798053633</v>
      </c>
      <c r="H59" s="382">
        <f t="shared" si="2"/>
        <v>9.1423443147810328</v>
      </c>
      <c r="I59" s="382">
        <f t="shared" si="2"/>
        <v>10.158160349756702</v>
      </c>
      <c r="K59" s="379" t="s">
        <v>372</v>
      </c>
      <c r="L59" s="382">
        <f>RICON_Edelstahl!C134</f>
        <v>13.4</v>
      </c>
      <c r="M59" s="382">
        <f>RICON_Edelstahl!F134</f>
        <v>13.205608454683714</v>
      </c>
      <c r="N59" s="382">
        <f t="shared" si="3"/>
        <v>6.0948962098540216</v>
      </c>
      <c r="O59" s="382">
        <f t="shared" si="3"/>
        <v>7.1107122448296911</v>
      </c>
      <c r="P59" s="382">
        <f t="shared" si="3"/>
        <v>8.1265282798053633</v>
      </c>
      <c r="Q59" s="382">
        <f t="shared" si="3"/>
        <v>9.1423443147810328</v>
      </c>
      <c r="R59" s="382">
        <f t="shared" si="3"/>
        <v>10.158160349756702</v>
      </c>
    </row>
    <row r="60" spans="1:18" s="375" customFormat="1" ht="38.25">
      <c r="A60" s="379" t="s">
        <v>672</v>
      </c>
      <c r="B60" s="380" t="s">
        <v>465</v>
      </c>
      <c r="C60" s="381">
        <f>RICON_Edelstahl!C135</f>
        <v>13.4</v>
      </c>
      <c r="D60" s="381">
        <f>RICON_Edelstahl!F135</f>
        <v>16.05035767036194</v>
      </c>
      <c r="E60" s="382">
        <f t="shared" si="2"/>
        <v>7.4078573863208952</v>
      </c>
      <c r="F60" s="382">
        <f t="shared" si="2"/>
        <v>8.6425002840410432</v>
      </c>
      <c r="G60" s="382">
        <f t="shared" si="2"/>
        <v>9.8771431817611948</v>
      </c>
      <c r="H60" s="382">
        <f t="shared" si="2"/>
        <v>11.111786079481343</v>
      </c>
      <c r="I60" s="382">
        <f t="shared" si="2"/>
        <v>12.346428977201493</v>
      </c>
      <c r="K60" s="379" t="s">
        <v>373</v>
      </c>
      <c r="L60" s="382">
        <f>RICON_Edelstahl!C135</f>
        <v>13.4</v>
      </c>
      <c r="M60" s="382">
        <f>RICON_Edelstahl!F135</f>
        <v>16.05035767036194</v>
      </c>
      <c r="N60" s="382">
        <f t="shared" si="3"/>
        <v>7.4078573863208952</v>
      </c>
      <c r="O60" s="382">
        <f t="shared" si="3"/>
        <v>8.6425002840410432</v>
      </c>
      <c r="P60" s="382">
        <f t="shared" si="3"/>
        <v>9.8771431817611948</v>
      </c>
      <c r="Q60" s="382">
        <f t="shared" si="3"/>
        <v>11.111786079481343</v>
      </c>
      <c r="R60" s="382">
        <f t="shared" si="3"/>
        <v>12.346428977201493</v>
      </c>
    </row>
    <row r="61" spans="1:18" s="375" customFormat="1" ht="38.25">
      <c r="A61" s="379" t="s">
        <v>681</v>
      </c>
      <c r="B61" s="380" t="s">
        <v>451</v>
      </c>
      <c r="C61" s="381">
        <f>RICON_Edelstahl!C136</f>
        <v>13.4</v>
      </c>
      <c r="D61" s="381">
        <f>RICON_Edelstahl!F136</f>
        <v>18.895106886040168</v>
      </c>
      <c r="E61" s="382">
        <f t="shared" si="2"/>
        <v>8.7208185627877697</v>
      </c>
      <c r="F61" s="382">
        <f t="shared" si="2"/>
        <v>10.174288323252396</v>
      </c>
      <c r="G61" s="382">
        <f t="shared" si="2"/>
        <v>11.627758083717026</v>
      </c>
      <c r="H61" s="382">
        <f t="shared" si="2"/>
        <v>13.081227844181655</v>
      </c>
      <c r="I61" s="382">
        <f t="shared" si="2"/>
        <v>13.4</v>
      </c>
      <c r="K61" s="379" t="s">
        <v>374</v>
      </c>
      <c r="L61" s="382">
        <f>RICON_Edelstahl!C136</f>
        <v>13.4</v>
      </c>
      <c r="M61" s="382">
        <f>RICON_Edelstahl!F136</f>
        <v>18.895106886040168</v>
      </c>
      <c r="N61" s="382">
        <f t="shared" si="3"/>
        <v>8.7208185627877697</v>
      </c>
      <c r="O61" s="382">
        <f t="shared" si="3"/>
        <v>10.174288323252396</v>
      </c>
      <c r="P61" s="382">
        <f t="shared" si="3"/>
        <v>11.627758083717026</v>
      </c>
      <c r="Q61" s="382">
        <f t="shared" si="3"/>
        <v>13.081227844181655</v>
      </c>
      <c r="R61" s="382">
        <f t="shared" si="3"/>
        <v>13.4</v>
      </c>
    </row>
    <row r="62" spans="1:18" s="375" customFormat="1" ht="38.25">
      <c r="A62" s="379" t="s">
        <v>673</v>
      </c>
      <c r="B62" s="380" t="s">
        <v>451</v>
      </c>
      <c r="C62" s="381">
        <f>RICON_Edelstahl!C137</f>
        <v>13.4</v>
      </c>
      <c r="D62" s="381">
        <f>RICON_Edelstahl!F137</f>
        <v>12.696539642830006</v>
      </c>
      <c r="E62" s="382">
        <f t="shared" si="2"/>
        <v>5.8599413736138484</v>
      </c>
      <c r="F62" s="382">
        <f t="shared" si="2"/>
        <v>6.8365982692161564</v>
      </c>
      <c r="G62" s="382">
        <f t="shared" si="2"/>
        <v>7.8132551648184654</v>
      </c>
      <c r="H62" s="382">
        <f t="shared" si="2"/>
        <v>8.7899120604207734</v>
      </c>
      <c r="I62" s="382">
        <f t="shared" si="2"/>
        <v>9.7665689560230806</v>
      </c>
      <c r="K62" s="379" t="s">
        <v>375</v>
      </c>
      <c r="L62" s="382">
        <f>RICON_Edelstahl!C137</f>
        <v>13.4</v>
      </c>
      <c r="M62" s="382">
        <f>RICON_Edelstahl!F137</f>
        <v>12.696539642830006</v>
      </c>
      <c r="N62" s="382">
        <f t="shared" si="3"/>
        <v>5.8599413736138484</v>
      </c>
      <c r="O62" s="382">
        <f t="shared" si="3"/>
        <v>6.8365982692161564</v>
      </c>
      <c r="P62" s="382">
        <f t="shared" si="3"/>
        <v>7.8132551648184654</v>
      </c>
      <c r="Q62" s="382">
        <f t="shared" si="3"/>
        <v>8.7899120604207734</v>
      </c>
      <c r="R62" s="382">
        <f t="shared" si="3"/>
        <v>9.7665689560230806</v>
      </c>
    </row>
    <row r="63" spans="1:18" s="375" customFormat="1" ht="38.25">
      <c r="A63" s="379" t="s">
        <v>674</v>
      </c>
      <c r="B63" s="380" t="s">
        <v>452</v>
      </c>
      <c r="C63" s="381">
        <f>RICON_Edelstahl!C138</f>
        <v>13.4</v>
      </c>
      <c r="D63" s="381">
        <f>RICON_Edelstahl!F138</f>
        <v>18.386038074186459</v>
      </c>
      <c r="E63" s="382">
        <f t="shared" si="2"/>
        <v>8.4858637265475956</v>
      </c>
      <c r="F63" s="382">
        <f t="shared" si="2"/>
        <v>9.9001743476388615</v>
      </c>
      <c r="G63" s="382">
        <f t="shared" si="2"/>
        <v>11.314484968730129</v>
      </c>
      <c r="H63" s="382">
        <f t="shared" si="2"/>
        <v>12.728795589821393</v>
      </c>
      <c r="I63" s="382">
        <f t="shared" si="2"/>
        <v>13.4</v>
      </c>
      <c r="K63" s="379" t="s">
        <v>376</v>
      </c>
      <c r="L63" s="382">
        <f>RICON_Edelstahl!C138</f>
        <v>13.4</v>
      </c>
      <c r="M63" s="382">
        <f>RICON_Edelstahl!F138</f>
        <v>18.386038074186459</v>
      </c>
      <c r="N63" s="382">
        <f t="shared" si="3"/>
        <v>8.4858637265475956</v>
      </c>
      <c r="O63" s="382">
        <f t="shared" si="3"/>
        <v>9.9001743476388615</v>
      </c>
      <c r="P63" s="382">
        <f t="shared" si="3"/>
        <v>11.314484968730129</v>
      </c>
      <c r="Q63" s="382">
        <f t="shared" si="3"/>
        <v>12.728795589821393</v>
      </c>
      <c r="R63" s="382">
        <f t="shared" si="3"/>
        <v>13.4</v>
      </c>
    </row>
    <row r="64" spans="1:18" s="375" customFormat="1" ht="38.25">
      <c r="A64" s="379" t="s">
        <v>675</v>
      </c>
      <c r="B64" s="380" t="s">
        <v>453</v>
      </c>
      <c r="C64" s="381">
        <f>RICON_Edelstahl!C139</f>
        <v>13.4</v>
      </c>
      <c r="D64" s="381">
        <f>RICON_Edelstahl!F139</f>
        <v>24.07553650554291</v>
      </c>
      <c r="E64" s="382">
        <f t="shared" si="2"/>
        <v>11.111786079481341</v>
      </c>
      <c r="F64" s="382">
        <f t="shared" si="2"/>
        <v>12.963750426061566</v>
      </c>
      <c r="G64" s="382">
        <f t="shared" si="2"/>
        <v>13.4</v>
      </c>
      <c r="H64" s="382">
        <f t="shared" si="2"/>
        <v>13.4</v>
      </c>
      <c r="I64" s="382">
        <f t="shared" si="2"/>
        <v>13.4</v>
      </c>
      <c r="K64" s="379" t="s">
        <v>377</v>
      </c>
      <c r="L64" s="382">
        <f>RICON_Edelstahl!C139</f>
        <v>13.4</v>
      </c>
      <c r="M64" s="382">
        <f>RICON_Edelstahl!F139</f>
        <v>24.07553650554291</v>
      </c>
      <c r="N64" s="382">
        <f t="shared" si="3"/>
        <v>11.111786079481341</v>
      </c>
      <c r="O64" s="382">
        <f t="shared" si="3"/>
        <v>12.963750426061566</v>
      </c>
      <c r="P64" s="382">
        <f t="shared" si="3"/>
        <v>13.4</v>
      </c>
      <c r="Q64" s="382">
        <f t="shared" si="3"/>
        <v>13.4</v>
      </c>
      <c r="R64" s="382">
        <f t="shared" si="3"/>
        <v>13.4</v>
      </c>
    </row>
    <row r="65" spans="1:18" s="375" customFormat="1" ht="38.25">
      <c r="A65" s="379" t="s">
        <v>682</v>
      </c>
      <c r="B65" s="380" t="s">
        <v>454</v>
      </c>
      <c r="C65" s="381">
        <f>RICON_Edelstahl!C140</f>
        <v>13.4</v>
      </c>
      <c r="D65" s="381">
        <f>RICON_Edelstahl!F140</f>
        <v>29.765034936899362</v>
      </c>
      <c r="E65" s="382">
        <f t="shared" si="2"/>
        <v>13.4</v>
      </c>
      <c r="F65" s="382">
        <f t="shared" si="2"/>
        <v>13.4</v>
      </c>
      <c r="G65" s="382">
        <f t="shared" si="2"/>
        <v>13.4</v>
      </c>
      <c r="H65" s="382">
        <f t="shared" si="2"/>
        <v>13.4</v>
      </c>
      <c r="I65" s="382">
        <f t="shared" si="2"/>
        <v>13.4</v>
      </c>
      <c r="K65" s="379" t="s">
        <v>378</v>
      </c>
      <c r="L65" s="382">
        <f>RICON_Edelstahl!C140</f>
        <v>13.4</v>
      </c>
      <c r="M65" s="382">
        <f>RICON_Edelstahl!F140</f>
        <v>29.765034936899362</v>
      </c>
      <c r="N65" s="382">
        <f t="shared" si="3"/>
        <v>13.4</v>
      </c>
      <c r="O65" s="382">
        <f t="shared" si="3"/>
        <v>13.4</v>
      </c>
      <c r="P65" s="382">
        <f t="shared" si="3"/>
        <v>13.4</v>
      </c>
      <c r="Q65" s="382">
        <f t="shared" si="3"/>
        <v>13.4</v>
      </c>
      <c r="R65" s="382">
        <f t="shared" si="3"/>
        <v>13.4</v>
      </c>
    </row>
    <row r="66" spans="1:18" s="375" customFormat="1" ht="39" thickBot="1">
      <c r="A66" s="383" t="s">
        <v>676</v>
      </c>
      <c r="B66" s="384" t="s">
        <v>455</v>
      </c>
      <c r="C66" s="385">
        <f>RICON_Edelstahl!C141</f>
        <v>13.4</v>
      </c>
      <c r="D66" s="385">
        <f>RICON_Edelstahl!F141</f>
        <v>35.454533368255817</v>
      </c>
      <c r="E66" s="386">
        <f t="shared" si="2"/>
        <v>13.4</v>
      </c>
      <c r="F66" s="386">
        <f t="shared" si="2"/>
        <v>13.4</v>
      </c>
      <c r="G66" s="386">
        <f t="shared" si="2"/>
        <v>13.4</v>
      </c>
      <c r="H66" s="386">
        <f t="shared" si="2"/>
        <v>13.4</v>
      </c>
      <c r="I66" s="386">
        <f t="shared" si="2"/>
        <v>13.4</v>
      </c>
      <c r="K66" s="383" t="s">
        <v>379</v>
      </c>
      <c r="L66" s="386">
        <f>RICON_Edelstahl!C141</f>
        <v>13.4</v>
      </c>
      <c r="M66" s="386">
        <f>RICON_Edelstahl!F141</f>
        <v>35.454533368255817</v>
      </c>
      <c r="N66" s="386">
        <f t="shared" si="3"/>
        <v>13.4</v>
      </c>
      <c r="O66" s="386">
        <f t="shared" si="3"/>
        <v>13.4</v>
      </c>
      <c r="P66" s="386">
        <f t="shared" si="3"/>
        <v>13.4</v>
      </c>
      <c r="Q66" s="386">
        <f t="shared" si="3"/>
        <v>13.4</v>
      </c>
      <c r="R66" s="386">
        <f t="shared" si="3"/>
        <v>13.4</v>
      </c>
    </row>
    <row r="67" spans="1:18" s="375" customFormat="1" ht="39" thickTop="1">
      <c r="A67" s="387" t="s">
        <v>547</v>
      </c>
      <c r="B67" s="390" t="s">
        <v>584</v>
      </c>
      <c r="C67" s="388">
        <f>RICON_Edelstahl!C146</f>
        <v>3.7</v>
      </c>
      <c r="D67" s="388">
        <f>RICON_Edelstahl!F146</f>
        <v>5.0646478158177981</v>
      </c>
      <c r="E67" s="389">
        <f t="shared" si="2"/>
        <v>2.3375297611466759</v>
      </c>
      <c r="F67" s="389">
        <f t="shared" si="2"/>
        <v>2.7271180546711218</v>
      </c>
      <c r="G67" s="389">
        <f t="shared" si="2"/>
        <v>3.1167063481955686</v>
      </c>
      <c r="H67" s="389">
        <f t="shared" si="2"/>
        <v>3.5062946417200136</v>
      </c>
      <c r="I67" s="389">
        <f t="shared" si="2"/>
        <v>3.7</v>
      </c>
      <c r="K67" s="387" t="s">
        <v>380</v>
      </c>
      <c r="L67" s="389">
        <f>RICON_Edelstahl!C146</f>
        <v>3.7</v>
      </c>
      <c r="M67" s="389">
        <f>RICON_Edelstahl!F146</f>
        <v>5.0646478158177981</v>
      </c>
      <c r="N67" s="389">
        <f t="shared" si="3"/>
        <v>2.3375297611466759</v>
      </c>
      <c r="O67" s="389">
        <f t="shared" si="3"/>
        <v>2.7271180546711218</v>
      </c>
      <c r="P67" s="389">
        <f t="shared" si="3"/>
        <v>3.1167063481955686</v>
      </c>
      <c r="Q67" s="389">
        <f t="shared" si="3"/>
        <v>3.5062946417200136</v>
      </c>
      <c r="R67" s="389">
        <f t="shared" si="3"/>
        <v>3.7</v>
      </c>
    </row>
    <row r="68" spans="1:18" s="375" customFormat="1" ht="38.25">
      <c r="A68" s="387" t="s">
        <v>549</v>
      </c>
      <c r="B68" s="380" t="s">
        <v>583</v>
      </c>
      <c r="C68" s="381">
        <f>RICON_Edelstahl!C147</f>
        <v>3.7</v>
      </c>
      <c r="D68" s="381">
        <f>RICON_Edelstahl!F147</f>
        <v>5.0646478158177981</v>
      </c>
      <c r="E68" s="382">
        <f t="shared" si="2"/>
        <v>2.3375297611466759</v>
      </c>
      <c r="F68" s="382">
        <f t="shared" si="2"/>
        <v>2.7271180546711218</v>
      </c>
      <c r="G68" s="382">
        <f t="shared" si="2"/>
        <v>3.1167063481955686</v>
      </c>
      <c r="H68" s="382">
        <f t="shared" si="2"/>
        <v>3.5062946417200136</v>
      </c>
      <c r="I68" s="382">
        <f t="shared" si="2"/>
        <v>3.7</v>
      </c>
      <c r="K68" s="387" t="s">
        <v>381</v>
      </c>
      <c r="L68" s="382">
        <f>RICON_Edelstahl!C147</f>
        <v>3.7</v>
      </c>
      <c r="M68" s="382">
        <f>RICON_Edelstahl!F147</f>
        <v>5.0646478158177981</v>
      </c>
      <c r="N68" s="382">
        <f t="shared" si="3"/>
        <v>2.3375297611466759</v>
      </c>
      <c r="O68" s="382">
        <f t="shared" si="3"/>
        <v>2.7271180546711218</v>
      </c>
      <c r="P68" s="382">
        <f t="shared" si="3"/>
        <v>3.1167063481955686</v>
      </c>
      <c r="Q68" s="382">
        <f t="shared" si="3"/>
        <v>3.5062946417200136</v>
      </c>
      <c r="R68" s="382">
        <f t="shared" si="3"/>
        <v>3.7</v>
      </c>
    </row>
    <row r="69" spans="1:18" ht="33.75">
      <c r="A69" s="799" t="s">
        <v>650</v>
      </c>
      <c r="B69" s="799"/>
      <c r="C69" s="800" t="s">
        <v>432</v>
      </c>
      <c r="D69" s="800"/>
      <c r="E69" s="800"/>
      <c r="F69" s="800"/>
      <c r="G69" s="800"/>
      <c r="H69" s="800"/>
      <c r="I69" s="800"/>
      <c r="J69" s="800"/>
      <c r="K69" s="792" t="s">
        <v>442</v>
      </c>
      <c r="L69" s="792"/>
      <c r="M69" s="792"/>
      <c r="N69" s="792"/>
      <c r="O69" s="792"/>
      <c r="P69" s="792"/>
      <c r="Q69" s="792"/>
      <c r="R69" s="792"/>
    </row>
    <row r="70" spans="1:18" ht="21">
      <c r="A70" s="337" t="s">
        <v>636</v>
      </c>
      <c r="B70" s="362"/>
      <c r="C70" s="362"/>
      <c r="D70" s="362" t="s">
        <v>634</v>
      </c>
      <c r="E70" s="400" t="s">
        <v>25</v>
      </c>
      <c r="G70" s="391" t="str">
        <f>VLOOKUP(E70,'RICON_RICON-S-EK_GIGANT_WALCO '!U678:Y685,4,FALSE)</f>
        <v>Brettschichtholz homogen</v>
      </c>
      <c r="H70" s="362"/>
      <c r="K70" s="792" t="s">
        <v>443</v>
      </c>
      <c r="L70" s="792"/>
      <c r="M70" s="792"/>
      <c r="N70" s="792"/>
      <c r="O70" s="792"/>
      <c r="P70" s="792"/>
      <c r="Q70" s="792"/>
      <c r="R70" s="792"/>
    </row>
    <row r="71" spans="1:18" ht="21">
      <c r="A71" s="337" t="s">
        <v>637</v>
      </c>
      <c r="D71" s="362" t="s">
        <v>633</v>
      </c>
      <c r="E71" s="400">
        <v>1</v>
      </c>
      <c r="G71" s="391" t="str">
        <f>'RICON_RICON-S-EK_GIGANT_WALCO '!AA27</f>
        <v>Indoor</v>
      </c>
      <c r="K71" s="339" t="s">
        <v>425</v>
      </c>
    </row>
    <row r="72" spans="1:18" ht="18.75">
      <c r="B72" s="362"/>
      <c r="C72" s="362"/>
      <c r="D72" s="362"/>
      <c r="E72" s="362"/>
      <c r="F72" s="362"/>
      <c r="G72" s="362"/>
      <c r="H72" s="362"/>
      <c r="I72" s="362"/>
      <c r="K72" s="339"/>
    </row>
    <row r="73" spans="1:18" ht="18.75">
      <c r="A73" s="339"/>
      <c r="B73" s="339"/>
      <c r="K73" s="339"/>
    </row>
    <row r="74" spans="1:18" ht="18.75">
      <c r="A74" s="339"/>
      <c r="B74" s="339"/>
      <c r="K74" s="339"/>
    </row>
    <row r="75" spans="1:18" ht="18.75">
      <c r="A75" s="339"/>
      <c r="B75" s="339"/>
      <c r="K75" s="339"/>
    </row>
    <row r="76" spans="1:18" ht="18.75">
      <c r="A76" s="339"/>
      <c r="B76" s="339"/>
      <c r="K76" s="339"/>
    </row>
    <row r="77" spans="1:18" ht="18.75">
      <c r="A77" s="339"/>
      <c r="B77" s="339"/>
      <c r="K77" s="339"/>
    </row>
    <row r="78" spans="1:18" ht="18.75">
      <c r="A78" s="339"/>
      <c r="B78" s="339"/>
      <c r="K78" s="339"/>
    </row>
    <row r="79" spans="1:18" ht="18.75">
      <c r="A79" s="339"/>
      <c r="B79" s="339"/>
      <c r="K79" s="339"/>
    </row>
    <row r="80" spans="1:18" ht="18.75">
      <c r="A80" s="339"/>
      <c r="B80" s="339"/>
      <c r="K80" s="339"/>
    </row>
    <row r="81" spans="1:19" ht="18.75">
      <c r="A81" s="339"/>
      <c r="B81" s="339"/>
      <c r="K81" s="339"/>
    </row>
    <row r="82" spans="1:19" ht="18.75">
      <c r="A82" s="339"/>
      <c r="B82" s="339"/>
      <c r="K82" s="339"/>
    </row>
    <row r="83" spans="1:19" ht="18.75">
      <c r="A83" s="339"/>
      <c r="B83" s="339"/>
      <c r="K83" s="339"/>
    </row>
    <row r="84" spans="1:19" ht="21">
      <c r="A84" s="337"/>
      <c r="B84" s="337"/>
      <c r="K84" s="337" t="s">
        <v>383</v>
      </c>
    </row>
    <row r="85" spans="1:19" ht="18">
      <c r="A85" s="3" t="s">
        <v>2</v>
      </c>
      <c r="B85" s="801" t="s">
        <v>582</v>
      </c>
      <c r="C85" s="790" t="s">
        <v>423</v>
      </c>
      <c r="D85" s="790"/>
      <c r="E85" s="703" t="str">
        <f>"Design values F2,Rd for "&amp;E70&amp;" [kN]"</f>
        <v>Design values F2,Rd for GL24h [kN]</v>
      </c>
      <c r="F85" s="704"/>
      <c r="G85" s="704"/>
      <c r="H85" s="401" t="s">
        <v>648</v>
      </c>
      <c r="I85" s="804" t="s">
        <v>426</v>
      </c>
      <c r="J85" s="805"/>
      <c r="K85" s="346" t="s">
        <v>386</v>
      </c>
      <c r="L85" s="794" t="s">
        <v>423</v>
      </c>
      <c r="M85" s="796"/>
      <c r="N85" s="664" t="s">
        <v>421</v>
      </c>
      <c r="O85" s="665"/>
      <c r="P85" s="665"/>
      <c r="Q85" s="173"/>
      <c r="R85" s="706" t="s">
        <v>426</v>
      </c>
      <c r="S85" s="715"/>
    </row>
    <row r="86" spans="1:19" ht="15" customHeight="1">
      <c r="A86" s="341" t="s">
        <v>683</v>
      </c>
      <c r="B86" s="802"/>
      <c r="C86" s="396" t="s">
        <v>429</v>
      </c>
      <c r="D86" s="396" t="s">
        <v>430</v>
      </c>
      <c r="E86" s="790" t="s">
        <v>429</v>
      </c>
      <c r="F86" s="790"/>
      <c r="G86" s="704" t="s">
        <v>430</v>
      </c>
      <c r="H86" s="705"/>
      <c r="I86" s="810" t="s">
        <v>427</v>
      </c>
      <c r="J86" s="810" t="s">
        <v>428</v>
      </c>
      <c r="K86" s="231"/>
      <c r="L86" s="161" t="s">
        <v>429</v>
      </c>
      <c r="M86" s="161" t="s">
        <v>430</v>
      </c>
      <c r="N86" s="664" t="s">
        <v>429</v>
      </c>
      <c r="O86" s="666"/>
      <c r="P86" s="664" t="s">
        <v>430</v>
      </c>
      <c r="Q86" s="666"/>
      <c r="R86" s="806" t="s">
        <v>427</v>
      </c>
      <c r="S86" s="808" t="s">
        <v>428</v>
      </c>
    </row>
    <row r="87" spans="1:19">
      <c r="A87" s="7"/>
      <c r="B87" s="803"/>
      <c r="C87" s="396" t="s">
        <v>431</v>
      </c>
      <c r="D87" s="396" t="s">
        <v>431</v>
      </c>
      <c r="E87" s="397">
        <v>0.6</v>
      </c>
      <c r="F87" s="397">
        <v>0.9</v>
      </c>
      <c r="G87" s="397">
        <v>0.6</v>
      </c>
      <c r="H87" s="397">
        <v>0.9</v>
      </c>
      <c r="I87" s="810"/>
      <c r="J87" s="810"/>
      <c r="K87" s="347"/>
      <c r="L87" s="41" t="s">
        <v>431</v>
      </c>
      <c r="M87" s="41" t="s">
        <v>431</v>
      </c>
      <c r="N87" s="87">
        <v>0.6</v>
      </c>
      <c r="O87" s="87">
        <v>0.9</v>
      </c>
      <c r="P87" s="87">
        <v>0.6</v>
      </c>
      <c r="Q87" s="87">
        <v>0.9</v>
      </c>
      <c r="R87" s="807"/>
      <c r="S87" s="809"/>
    </row>
    <row r="88" spans="1:19" ht="45">
      <c r="A88" s="62" t="s">
        <v>651</v>
      </c>
      <c r="B88" s="350" t="s">
        <v>460</v>
      </c>
      <c r="C88" s="367">
        <f>'RICON_RICON-S-EK_GIGANT_WALCO '!H763</f>
        <v>0.68556196386955359</v>
      </c>
      <c r="D88" s="367">
        <f>'RICON_RICON-S-EK_GIGANT_WALCO '!I763</f>
        <v>4.6855619638695538</v>
      </c>
      <c r="E88" s="279">
        <f>$C88*E$87/1.3</f>
        <v>0.31641321409364009</v>
      </c>
      <c r="F88" s="279">
        <f>$C88*F$87/1.3</f>
        <v>0.4746198211404602</v>
      </c>
      <c r="G88" s="279">
        <f>$D88*G$87/1.3</f>
        <v>2.1625670602474862</v>
      </c>
      <c r="H88" s="279">
        <f>$D88*H$87/1.3</f>
        <v>3.2438505903712298</v>
      </c>
      <c r="I88" s="406">
        <f>E88*200/1.35</f>
        <v>46.876031717576311</v>
      </c>
      <c r="J88" s="406">
        <f t="shared" ref="J88:J100" si="4">G88*200/1.35</f>
        <v>320.38030522184977</v>
      </c>
      <c r="K88" s="348" t="s">
        <v>397</v>
      </c>
      <c r="L88" s="279">
        <f>'RICON_RICON-S-EK_GIGANT_WALCO '!H763</f>
        <v>0.68556196386955359</v>
      </c>
      <c r="M88" s="279">
        <f>'RICON_RICON-S-EK_GIGANT_WALCO '!I763</f>
        <v>4.6855619638695538</v>
      </c>
      <c r="N88" s="279">
        <f>$C88*N$87/1.3</f>
        <v>0.31641321409364009</v>
      </c>
      <c r="O88" s="279">
        <f>$C88*O$87/1.3</f>
        <v>0.4746198211404602</v>
      </c>
      <c r="P88" s="279">
        <f>$D88*P$87/1.3</f>
        <v>2.1625670602474862</v>
      </c>
      <c r="Q88" s="279">
        <f>$D88*Q$87/1.3</f>
        <v>3.2438505903712298</v>
      </c>
      <c r="R88" s="330">
        <f>N88*200/1.35</f>
        <v>46.876031717576311</v>
      </c>
      <c r="S88" s="345">
        <f>P88*200/1.35</f>
        <v>320.38030522184977</v>
      </c>
    </row>
    <row r="89" spans="1:19" ht="45">
      <c r="A89" s="62" t="s">
        <v>652</v>
      </c>
      <c r="B89" s="350" t="s">
        <v>461</v>
      </c>
      <c r="C89" s="367">
        <f>'RICON_RICON-S-EK_GIGANT_WALCO '!H764</f>
        <v>0.93004458531057144</v>
      </c>
      <c r="D89" s="367">
        <f>'RICON_RICON-S-EK_GIGANT_WALCO '!I764</f>
        <v>4.9300445853105712</v>
      </c>
      <c r="E89" s="279">
        <f t="shared" ref="E89:F100" si="5">$C89*E$87/1.3</f>
        <v>0.42925134706641754</v>
      </c>
      <c r="F89" s="279">
        <f t="shared" si="5"/>
        <v>0.64387702059962637</v>
      </c>
      <c r="G89" s="279">
        <f t="shared" ref="G89:H100" si="6">$D89*G$87/1.3</f>
        <v>2.2754051932202635</v>
      </c>
      <c r="H89" s="279">
        <f t="shared" si="6"/>
        <v>3.4131077898303959</v>
      </c>
      <c r="I89" s="406">
        <f t="shared" ref="I89:I100" si="7">E89*200/1.35</f>
        <v>63.59279215798778</v>
      </c>
      <c r="J89" s="406">
        <f t="shared" si="4"/>
        <v>337.09706566226123</v>
      </c>
      <c r="K89" s="348" t="s">
        <v>398</v>
      </c>
      <c r="L89" s="279">
        <f>'RICON_RICON-S-EK_GIGANT_WALCO '!H764</f>
        <v>0.93004458531057144</v>
      </c>
      <c r="M89" s="279">
        <f>'RICON_RICON-S-EK_GIGANT_WALCO '!I764</f>
        <v>4.9300445853105712</v>
      </c>
      <c r="N89" s="279">
        <f t="shared" ref="N89:O100" si="8">$C89*N$87/1.3</f>
        <v>0.42925134706641754</v>
      </c>
      <c r="O89" s="279">
        <f t="shared" si="8"/>
        <v>0.64387702059962637</v>
      </c>
      <c r="P89" s="279">
        <f t="shared" ref="P89:Q100" si="9">$D89*P$87/1.3</f>
        <v>2.2754051932202635</v>
      </c>
      <c r="Q89" s="279">
        <f t="shared" si="9"/>
        <v>3.4131077898303959</v>
      </c>
      <c r="R89" s="330">
        <f t="shared" ref="R89:R100" si="10">N89*200/1.35</f>
        <v>63.59279215798778</v>
      </c>
      <c r="S89" s="345">
        <f t="shared" ref="S89:S100" si="11">P89*200/1.35</f>
        <v>337.09706566226123</v>
      </c>
    </row>
    <row r="90" spans="1:19" ht="45">
      <c r="A90" s="62" t="s">
        <v>653</v>
      </c>
      <c r="B90" s="350" t="s">
        <v>471</v>
      </c>
      <c r="C90" s="367">
        <f>'RICON_RICON-S-EK_GIGANT_WALCO '!H765</f>
        <v>1.4937800644343464</v>
      </c>
      <c r="D90" s="367">
        <f>'RICON_RICON-S-EK_GIGANT_WALCO '!I765</f>
        <v>5.4937800644343469</v>
      </c>
      <c r="E90" s="279">
        <f t="shared" si="5"/>
        <v>0.68943695281585216</v>
      </c>
      <c r="F90" s="279">
        <f t="shared" si="5"/>
        <v>1.0341554292237782</v>
      </c>
      <c r="G90" s="279">
        <f t="shared" si="6"/>
        <v>2.5355907989696984</v>
      </c>
      <c r="H90" s="279">
        <f t="shared" si="6"/>
        <v>3.8033861984545481</v>
      </c>
      <c r="I90" s="406">
        <f t="shared" si="7"/>
        <v>102.13880782457069</v>
      </c>
      <c r="J90" s="406">
        <f t="shared" si="4"/>
        <v>375.64308132884418</v>
      </c>
      <c r="K90" s="348" t="s">
        <v>399</v>
      </c>
      <c r="L90" s="279">
        <f>'RICON_RICON-S-EK_GIGANT_WALCO '!H765</f>
        <v>1.4937800644343464</v>
      </c>
      <c r="M90" s="279">
        <f>'RICON_RICON-S-EK_GIGANT_WALCO '!I765</f>
        <v>5.4937800644343469</v>
      </c>
      <c r="N90" s="279">
        <f t="shared" si="8"/>
        <v>0.68943695281585216</v>
      </c>
      <c r="O90" s="279">
        <f t="shared" si="8"/>
        <v>1.0341554292237782</v>
      </c>
      <c r="P90" s="279">
        <f t="shared" si="9"/>
        <v>2.5355907989696984</v>
      </c>
      <c r="Q90" s="279">
        <f t="shared" si="9"/>
        <v>3.8033861984545481</v>
      </c>
      <c r="R90" s="330">
        <f t="shared" si="10"/>
        <v>102.13880782457069</v>
      </c>
      <c r="S90" s="345">
        <f t="shared" si="11"/>
        <v>375.64308132884418</v>
      </c>
    </row>
    <row r="91" spans="1:19" ht="45">
      <c r="A91" s="62" t="s">
        <v>654</v>
      </c>
      <c r="B91" s="350" t="s">
        <v>472</v>
      </c>
      <c r="C91" s="367">
        <f>'RICON_RICON-S-EK_GIGANT_WALCO '!H766</f>
        <v>2.0699476121956257</v>
      </c>
      <c r="D91" s="367">
        <f>'RICON_RICON-S-EK_GIGANT_WALCO '!I766</f>
        <v>6.0699476121956257</v>
      </c>
      <c r="E91" s="279">
        <f t="shared" si="5"/>
        <v>0.95536043639798107</v>
      </c>
      <c r="F91" s="279">
        <f t="shared" si="5"/>
        <v>1.4330406545969716</v>
      </c>
      <c r="G91" s="279">
        <f t="shared" si="6"/>
        <v>2.8015142825518269</v>
      </c>
      <c r="H91" s="279">
        <f t="shared" si="6"/>
        <v>4.2022714238277405</v>
      </c>
      <c r="I91" s="406">
        <f t="shared" si="7"/>
        <v>141.53487946636756</v>
      </c>
      <c r="J91" s="406">
        <f t="shared" si="4"/>
        <v>415.039152970641</v>
      </c>
      <c r="K91" s="348" t="s">
        <v>400</v>
      </c>
      <c r="L91" s="279">
        <f>'RICON_RICON-S-EK_GIGANT_WALCO '!H766</f>
        <v>2.0699476121956257</v>
      </c>
      <c r="M91" s="279">
        <f>'RICON_RICON-S-EK_GIGANT_WALCO '!I766</f>
        <v>6.0699476121956257</v>
      </c>
      <c r="N91" s="279">
        <f t="shared" si="8"/>
        <v>0.95536043639798107</v>
      </c>
      <c r="O91" s="279">
        <f t="shared" si="8"/>
        <v>1.4330406545969716</v>
      </c>
      <c r="P91" s="279">
        <f t="shared" si="9"/>
        <v>2.8015142825518269</v>
      </c>
      <c r="Q91" s="279">
        <f t="shared" si="9"/>
        <v>4.2022714238277405</v>
      </c>
      <c r="R91" s="330">
        <f t="shared" si="10"/>
        <v>141.53487946636756</v>
      </c>
      <c r="S91" s="345">
        <f t="shared" si="11"/>
        <v>415.039152970641</v>
      </c>
    </row>
    <row r="92" spans="1:19" ht="45">
      <c r="A92" s="62" t="s">
        <v>655</v>
      </c>
      <c r="B92" s="350" t="s">
        <v>473</v>
      </c>
      <c r="C92" s="367">
        <f>'RICON_RICON-S-EK_GIGANT_WALCO '!H767</f>
        <v>2.6785451403230303</v>
      </c>
      <c r="D92" s="367">
        <f>'RICON_RICON-S-EK_GIGANT_WALCO '!I767</f>
        <v>6.6785451403230303</v>
      </c>
      <c r="E92" s="279">
        <f t="shared" si="5"/>
        <v>1.2362516032260138</v>
      </c>
      <c r="F92" s="279">
        <f t="shared" si="5"/>
        <v>1.8543774048390211</v>
      </c>
      <c r="G92" s="279">
        <f t="shared" si="6"/>
        <v>3.0824054493798596</v>
      </c>
      <c r="H92" s="279">
        <f t="shared" si="6"/>
        <v>4.6236081740697896</v>
      </c>
      <c r="I92" s="406">
        <f t="shared" si="7"/>
        <v>183.14838566311315</v>
      </c>
      <c r="J92" s="406">
        <f t="shared" si="4"/>
        <v>456.65265916738662</v>
      </c>
      <c r="K92" s="348" t="s">
        <v>401</v>
      </c>
      <c r="L92" s="279">
        <f>'RICON_RICON-S-EK_GIGANT_WALCO '!H767</f>
        <v>2.6785451403230303</v>
      </c>
      <c r="M92" s="279">
        <f>'RICON_RICON-S-EK_GIGANT_WALCO '!I767</f>
        <v>6.6785451403230303</v>
      </c>
      <c r="N92" s="279">
        <f t="shared" si="8"/>
        <v>1.2362516032260138</v>
      </c>
      <c r="O92" s="279">
        <f t="shared" si="8"/>
        <v>1.8543774048390211</v>
      </c>
      <c r="P92" s="279">
        <f t="shared" si="9"/>
        <v>3.0824054493798596</v>
      </c>
      <c r="Q92" s="279">
        <f t="shared" si="9"/>
        <v>4.6236081740697896</v>
      </c>
      <c r="R92" s="330">
        <f t="shared" si="10"/>
        <v>183.14838566311315</v>
      </c>
      <c r="S92" s="345">
        <f t="shared" si="11"/>
        <v>456.65265916738662</v>
      </c>
    </row>
    <row r="93" spans="1:19" ht="45">
      <c r="A93" s="62" t="s">
        <v>656</v>
      </c>
      <c r="B93" s="350" t="s">
        <v>474</v>
      </c>
      <c r="C93" s="367">
        <f>'RICON_RICON-S-EK_GIGANT_WALCO '!H768</f>
        <v>3.3245358298367984</v>
      </c>
      <c r="D93" s="367">
        <f>'RICON_RICON-S-EK_GIGANT_WALCO '!I768</f>
        <v>7.3245358298367984</v>
      </c>
      <c r="E93" s="279">
        <f t="shared" si="5"/>
        <v>1.5344011522323684</v>
      </c>
      <c r="F93" s="279">
        <f t="shared" si="5"/>
        <v>2.3016017283485528</v>
      </c>
      <c r="G93" s="279">
        <f t="shared" si="6"/>
        <v>3.3805549983862146</v>
      </c>
      <c r="H93" s="279">
        <f t="shared" si="6"/>
        <v>5.070832497579322</v>
      </c>
      <c r="I93" s="406">
        <f t="shared" si="7"/>
        <v>227.31868921961009</v>
      </c>
      <c r="J93" s="406">
        <f t="shared" si="4"/>
        <v>500.82296272388362</v>
      </c>
      <c r="K93" s="348" t="s">
        <v>402</v>
      </c>
      <c r="L93" s="279">
        <f>'RICON_RICON-S-EK_GIGANT_WALCO '!H768</f>
        <v>3.3245358298367984</v>
      </c>
      <c r="M93" s="279">
        <f>'RICON_RICON-S-EK_GIGANT_WALCO '!I768</f>
        <v>7.3245358298367984</v>
      </c>
      <c r="N93" s="279">
        <f t="shared" si="8"/>
        <v>1.5344011522323684</v>
      </c>
      <c r="O93" s="279">
        <f t="shared" si="8"/>
        <v>2.3016017283485528</v>
      </c>
      <c r="P93" s="279">
        <f t="shared" si="9"/>
        <v>3.3805549983862146</v>
      </c>
      <c r="Q93" s="279">
        <f t="shared" si="9"/>
        <v>5.070832497579322</v>
      </c>
      <c r="R93" s="330">
        <f t="shared" si="10"/>
        <v>227.31868921961009</v>
      </c>
      <c r="S93" s="345">
        <f t="shared" si="11"/>
        <v>500.82296272388362</v>
      </c>
    </row>
    <row r="94" spans="1:19" ht="45">
      <c r="A94" s="62" t="s">
        <v>677</v>
      </c>
      <c r="B94" s="350" t="s">
        <v>473</v>
      </c>
      <c r="C94" s="367">
        <f>'RICON_RICON-S-EK_GIGANT_WALCO '!H771</f>
        <v>4.1135329443476287</v>
      </c>
      <c r="D94" s="367">
        <f>'RICON_RICON-S-EK_GIGANT_WALCO '!I771</f>
        <v>8.1135329443476287</v>
      </c>
      <c r="E94" s="279">
        <f t="shared" si="5"/>
        <v>1.8985536666219824</v>
      </c>
      <c r="F94" s="279">
        <f t="shared" si="5"/>
        <v>2.8478304999329738</v>
      </c>
      <c r="G94" s="279">
        <f t="shared" si="6"/>
        <v>3.744707512775828</v>
      </c>
      <c r="H94" s="279">
        <f t="shared" si="6"/>
        <v>5.6170612691637434</v>
      </c>
      <c r="I94" s="406">
        <f t="shared" si="7"/>
        <v>281.26720986992331</v>
      </c>
      <c r="J94" s="406">
        <f t="shared" si="4"/>
        <v>554.77148337419669</v>
      </c>
      <c r="K94" s="349" t="s">
        <v>403</v>
      </c>
      <c r="L94" s="279">
        <f>'RICON_RICON-S-EK_GIGANT_WALCO '!H771</f>
        <v>4.1135329443476287</v>
      </c>
      <c r="M94" s="279">
        <f>'RICON_RICON-S-EK_GIGANT_WALCO '!I771</f>
        <v>8.1135329443476287</v>
      </c>
      <c r="N94" s="279">
        <f t="shared" si="8"/>
        <v>1.8985536666219824</v>
      </c>
      <c r="O94" s="279">
        <f t="shared" si="8"/>
        <v>2.8478304999329738</v>
      </c>
      <c r="P94" s="279">
        <f t="shared" si="9"/>
        <v>3.744707512775828</v>
      </c>
      <c r="Q94" s="279">
        <f t="shared" si="9"/>
        <v>5.6170612691637434</v>
      </c>
      <c r="R94" s="330">
        <f t="shared" si="10"/>
        <v>281.26720986992331</v>
      </c>
      <c r="S94" s="345">
        <f t="shared" si="11"/>
        <v>554.77148337419669</v>
      </c>
    </row>
    <row r="95" spans="1:19" ht="45">
      <c r="A95" s="62" t="s">
        <v>678</v>
      </c>
      <c r="B95" s="350" t="s">
        <v>474</v>
      </c>
      <c r="C95" s="367">
        <f>'RICON_RICON-S-EK_GIGANT_WALCO '!H772</f>
        <v>5.1055236549138909</v>
      </c>
      <c r="D95" s="367">
        <f>'RICON_RICON-S-EK_GIGANT_WALCO '!I772</f>
        <v>9.1055236549138918</v>
      </c>
      <c r="E95" s="279">
        <f t="shared" si="5"/>
        <v>2.3563955330371802</v>
      </c>
      <c r="F95" s="279">
        <f t="shared" si="5"/>
        <v>3.5345932995557705</v>
      </c>
      <c r="G95" s="279">
        <f t="shared" si="6"/>
        <v>4.2025493791910264</v>
      </c>
      <c r="H95" s="279">
        <f t="shared" si="6"/>
        <v>6.3038240687865406</v>
      </c>
      <c r="I95" s="406">
        <f t="shared" si="7"/>
        <v>349.09563452402671</v>
      </c>
      <c r="J95" s="406">
        <f t="shared" si="4"/>
        <v>622.59990802830021</v>
      </c>
      <c r="K95" s="349" t="s">
        <v>404</v>
      </c>
      <c r="L95" s="279">
        <f>'RICON_RICON-S-EK_GIGANT_WALCO '!H772</f>
        <v>5.1055236549138909</v>
      </c>
      <c r="M95" s="279">
        <f>'RICON_RICON-S-EK_GIGANT_WALCO '!I772</f>
        <v>9.1055236549138918</v>
      </c>
      <c r="N95" s="279">
        <f t="shared" si="8"/>
        <v>2.3563955330371802</v>
      </c>
      <c r="O95" s="279">
        <f t="shared" si="8"/>
        <v>3.5345932995557705</v>
      </c>
      <c r="P95" s="279">
        <f t="shared" si="9"/>
        <v>4.2025493791910264</v>
      </c>
      <c r="Q95" s="279">
        <f t="shared" si="9"/>
        <v>6.3038240687865406</v>
      </c>
      <c r="R95" s="330">
        <f t="shared" si="10"/>
        <v>349.09563452402671</v>
      </c>
      <c r="S95" s="345">
        <f t="shared" si="11"/>
        <v>622.59990802830021</v>
      </c>
    </row>
    <row r="96" spans="1:19" ht="45">
      <c r="A96" s="62" t="s">
        <v>660</v>
      </c>
      <c r="B96" s="350" t="s">
        <v>590</v>
      </c>
      <c r="C96" s="367">
        <f>'RICON_RICON-S-EK_GIGANT_WALCO '!H773</f>
        <v>2.8454065427374902</v>
      </c>
      <c r="D96" s="367">
        <f>'RICON_RICON-S-EK_GIGANT_WALCO '!I773</f>
        <v>6.8454065427374902</v>
      </c>
      <c r="E96" s="279">
        <f t="shared" si="5"/>
        <v>1.3132645581865339</v>
      </c>
      <c r="F96" s="279">
        <f t="shared" si="5"/>
        <v>1.9698968372798009</v>
      </c>
      <c r="G96" s="279">
        <f t="shared" si="6"/>
        <v>3.1594184043403799</v>
      </c>
      <c r="H96" s="279">
        <f t="shared" si="6"/>
        <v>4.7391276065105696</v>
      </c>
      <c r="I96" s="406">
        <f t="shared" si="7"/>
        <v>194.55771232393093</v>
      </c>
      <c r="J96" s="406">
        <f t="shared" si="4"/>
        <v>468.0619858282044</v>
      </c>
      <c r="K96" s="348" t="s">
        <v>405</v>
      </c>
      <c r="L96" s="279">
        <f>'RICON_RICON-S-EK_GIGANT_WALCO '!H773</f>
        <v>2.8454065427374902</v>
      </c>
      <c r="M96" s="279">
        <f>'RICON_RICON-S-EK_GIGANT_WALCO '!I773</f>
        <v>6.8454065427374902</v>
      </c>
      <c r="N96" s="279">
        <f t="shared" si="8"/>
        <v>1.3132645581865339</v>
      </c>
      <c r="O96" s="279">
        <f t="shared" si="8"/>
        <v>1.9698968372798009</v>
      </c>
      <c r="P96" s="279">
        <f t="shared" si="9"/>
        <v>3.1594184043403799</v>
      </c>
      <c r="Q96" s="279">
        <f t="shared" si="9"/>
        <v>4.7391276065105696</v>
      </c>
      <c r="R96" s="330">
        <f t="shared" si="10"/>
        <v>194.55771232393093</v>
      </c>
      <c r="S96" s="345">
        <f t="shared" si="11"/>
        <v>468.0619858282044</v>
      </c>
    </row>
    <row r="97" spans="1:19" ht="45">
      <c r="A97" s="62" t="s">
        <v>659</v>
      </c>
      <c r="B97" s="350" t="s">
        <v>591</v>
      </c>
      <c r="C97" s="367">
        <f>'RICON_RICON-S-EK_GIGANT_WALCO '!H774</f>
        <v>4.2725432285353833</v>
      </c>
      <c r="D97" s="367">
        <f>'RICON_RICON-S-EK_GIGANT_WALCO '!I774</f>
        <v>8.2725432285353833</v>
      </c>
      <c r="E97" s="279">
        <f t="shared" si="5"/>
        <v>1.9719430285547921</v>
      </c>
      <c r="F97" s="279">
        <f t="shared" si="5"/>
        <v>2.9579145428321882</v>
      </c>
      <c r="G97" s="279">
        <f t="shared" si="6"/>
        <v>3.8180968747086386</v>
      </c>
      <c r="H97" s="279">
        <f t="shared" si="6"/>
        <v>5.727145312062957</v>
      </c>
      <c r="I97" s="406">
        <f t="shared" si="7"/>
        <v>292.13970793404326</v>
      </c>
      <c r="J97" s="406">
        <f t="shared" si="4"/>
        <v>565.64398143831681</v>
      </c>
      <c r="K97" s="348" t="s">
        <v>406</v>
      </c>
      <c r="L97" s="279">
        <f>'RICON_RICON-S-EK_GIGANT_WALCO '!H774</f>
        <v>4.2725432285353833</v>
      </c>
      <c r="M97" s="279">
        <f>'RICON_RICON-S-EK_GIGANT_WALCO '!I774</f>
        <v>8.2725432285353833</v>
      </c>
      <c r="N97" s="279">
        <f t="shared" si="8"/>
        <v>1.9719430285547921</v>
      </c>
      <c r="O97" s="279">
        <f t="shared" si="8"/>
        <v>2.9579145428321882</v>
      </c>
      <c r="P97" s="279">
        <f t="shared" si="9"/>
        <v>3.8180968747086386</v>
      </c>
      <c r="Q97" s="279">
        <f t="shared" si="9"/>
        <v>5.727145312062957</v>
      </c>
      <c r="R97" s="330">
        <f t="shared" si="10"/>
        <v>292.13970793404326</v>
      </c>
      <c r="S97" s="345">
        <f t="shared" si="11"/>
        <v>565.64398143831681</v>
      </c>
    </row>
    <row r="98" spans="1:19" ht="45">
      <c r="A98" s="62" t="s">
        <v>663</v>
      </c>
      <c r="B98" s="350" t="s">
        <v>592</v>
      </c>
      <c r="C98" s="367">
        <f>'RICON_RICON-S-EK_GIGANT_WALCO '!H775</f>
        <v>5.6346405643713657</v>
      </c>
      <c r="D98" s="367">
        <f>'RICON_RICON-S-EK_GIGANT_WALCO '!I775</f>
        <v>9.6346405643713666</v>
      </c>
      <c r="E98" s="279">
        <f t="shared" si="5"/>
        <v>2.6006033374021684</v>
      </c>
      <c r="F98" s="279">
        <f t="shared" si="5"/>
        <v>3.9009050061032533</v>
      </c>
      <c r="G98" s="279">
        <f t="shared" si="6"/>
        <v>4.4467571835560156</v>
      </c>
      <c r="H98" s="279">
        <f t="shared" si="6"/>
        <v>6.6701357753340238</v>
      </c>
      <c r="I98" s="406">
        <f t="shared" si="7"/>
        <v>385.2745685040249</v>
      </c>
      <c r="J98" s="406">
        <f t="shared" si="4"/>
        <v>658.77884200829851</v>
      </c>
      <c r="K98" s="348" t="s">
        <v>407</v>
      </c>
      <c r="L98" s="279">
        <f>'RICON_RICON-S-EK_GIGANT_WALCO '!H775</f>
        <v>5.6346405643713657</v>
      </c>
      <c r="M98" s="279">
        <f>'RICON_RICON-S-EK_GIGANT_WALCO '!I775</f>
        <v>9.6346405643713666</v>
      </c>
      <c r="N98" s="279">
        <f t="shared" si="8"/>
        <v>2.6006033374021684</v>
      </c>
      <c r="O98" s="279">
        <f t="shared" si="8"/>
        <v>3.9009050061032533</v>
      </c>
      <c r="P98" s="279">
        <f t="shared" si="9"/>
        <v>4.4467571835560156</v>
      </c>
      <c r="Q98" s="279">
        <f t="shared" si="9"/>
        <v>6.6701357753340238</v>
      </c>
      <c r="R98" s="330">
        <f t="shared" si="10"/>
        <v>385.2745685040249</v>
      </c>
      <c r="S98" s="345">
        <f t="shared" si="11"/>
        <v>658.77884200829851</v>
      </c>
    </row>
    <row r="99" spans="1:19" ht="45">
      <c r="A99" s="62" t="s">
        <v>662</v>
      </c>
      <c r="B99" s="350" t="s">
        <v>593</v>
      </c>
      <c r="C99" s="367">
        <f>'RICON_RICON-S-EK_GIGANT_WALCO '!H776</f>
        <v>5.1169638723882258</v>
      </c>
      <c r="D99" s="367">
        <f>'RICON_RICON-S-EK_GIGANT_WALCO '!I776</f>
        <v>9.1169638723882258</v>
      </c>
      <c r="E99" s="279">
        <f t="shared" si="5"/>
        <v>2.3616756334099502</v>
      </c>
      <c r="F99" s="279">
        <f t="shared" si="5"/>
        <v>3.5425134501149258</v>
      </c>
      <c r="G99" s="279">
        <f t="shared" si="6"/>
        <v>4.207829479563796</v>
      </c>
      <c r="H99" s="279">
        <f t="shared" si="6"/>
        <v>6.3117442193456954</v>
      </c>
      <c r="I99" s="406">
        <f t="shared" si="7"/>
        <v>349.87787161628893</v>
      </c>
      <c r="J99" s="406">
        <f t="shared" si="4"/>
        <v>623.38214512056231</v>
      </c>
      <c r="K99" s="348" t="s">
        <v>408</v>
      </c>
      <c r="L99" s="279">
        <f>'RICON_RICON-S-EK_GIGANT_WALCO '!H776</f>
        <v>5.1169638723882258</v>
      </c>
      <c r="M99" s="279">
        <f>'RICON_RICON-S-EK_GIGANT_WALCO '!I776</f>
        <v>9.1169638723882258</v>
      </c>
      <c r="N99" s="279">
        <f t="shared" si="8"/>
        <v>2.3616756334099502</v>
      </c>
      <c r="O99" s="279">
        <f t="shared" si="8"/>
        <v>3.5425134501149258</v>
      </c>
      <c r="P99" s="279">
        <f t="shared" si="9"/>
        <v>4.207829479563796</v>
      </c>
      <c r="Q99" s="279">
        <f t="shared" si="9"/>
        <v>6.3117442193456954</v>
      </c>
      <c r="R99" s="330">
        <f t="shared" si="10"/>
        <v>349.87787161628893</v>
      </c>
      <c r="S99" s="345">
        <f t="shared" si="11"/>
        <v>623.38214512056231</v>
      </c>
    </row>
    <row r="100" spans="1:19" ht="45">
      <c r="A100" s="62" t="s">
        <v>679</v>
      </c>
      <c r="B100" s="350" t="s">
        <v>594</v>
      </c>
      <c r="C100" s="367">
        <f>'RICON_RICON-S-EK_GIGANT_WALCO '!H777</f>
        <v>4.6863960027681477</v>
      </c>
      <c r="D100" s="367">
        <f>'RICON_RICON-S-EK_GIGANT_WALCO '!I777</f>
        <v>8.6863960027681486</v>
      </c>
      <c r="E100" s="279">
        <f t="shared" si="5"/>
        <v>2.1629520012776062</v>
      </c>
      <c r="F100" s="279">
        <f t="shared" si="5"/>
        <v>3.2444280019164102</v>
      </c>
      <c r="G100" s="279">
        <f t="shared" si="6"/>
        <v>4.0091058474314529</v>
      </c>
      <c r="H100" s="279">
        <f t="shared" si="6"/>
        <v>6.0136587711471794</v>
      </c>
      <c r="I100" s="406">
        <f t="shared" si="7"/>
        <v>320.4373335226083</v>
      </c>
      <c r="J100" s="406">
        <f t="shared" si="4"/>
        <v>593.94160702688191</v>
      </c>
      <c r="K100" s="348" t="s">
        <v>409</v>
      </c>
      <c r="L100" s="279">
        <f>'RICON_RICON-S-EK_GIGANT_WALCO '!H777</f>
        <v>4.6863960027681477</v>
      </c>
      <c r="M100" s="279">
        <f>'RICON_RICON-S-EK_GIGANT_WALCO '!I777</f>
        <v>8.6863960027681486</v>
      </c>
      <c r="N100" s="279">
        <f t="shared" si="8"/>
        <v>2.1629520012776062</v>
      </c>
      <c r="O100" s="279">
        <f t="shared" si="8"/>
        <v>3.2444280019164102</v>
      </c>
      <c r="P100" s="279">
        <f t="shared" si="9"/>
        <v>4.0091058474314529</v>
      </c>
      <c r="Q100" s="279">
        <f t="shared" si="9"/>
        <v>6.0136587711471794</v>
      </c>
      <c r="R100" s="330">
        <f t="shared" si="10"/>
        <v>320.4373335226083</v>
      </c>
      <c r="S100" s="345">
        <f t="shared" si="11"/>
        <v>593.94160702688191</v>
      </c>
    </row>
  </sheetData>
  <sheetProtection password="D94A" sheet="1" objects="1" scenarios="1" selectLockedCells="1"/>
  <mergeCells count="32">
    <mergeCell ref="A69:B69"/>
    <mergeCell ref="C69:J69"/>
    <mergeCell ref="E85:G85"/>
    <mergeCell ref="L85:M85"/>
    <mergeCell ref="N85:P85"/>
    <mergeCell ref="K69:R69"/>
    <mergeCell ref="K70:R70"/>
    <mergeCell ref="B85:B87"/>
    <mergeCell ref="C85:D85"/>
    <mergeCell ref="I85:J85"/>
    <mergeCell ref="R85:S85"/>
    <mergeCell ref="R86:R87"/>
    <mergeCell ref="S86:S87"/>
    <mergeCell ref="I86:I87"/>
    <mergeCell ref="J86:J87"/>
    <mergeCell ref="N86:O86"/>
    <mergeCell ref="P86:Q86"/>
    <mergeCell ref="E86:F86"/>
    <mergeCell ref="G86:H86"/>
    <mergeCell ref="A1:J2"/>
    <mergeCell ref="K1:R2"/>
    <mergeCell ref="K5:R5"/>
    <mergeCell ref="C17:D17"/>
    <mergeCell ref="L17:M17"/>
    <mergeCell ref="N17:R17"/>
    <mergeCell ref="E17:H17"/>
    <mergeCell ref="A39:B39"/>
    <mergeCell ref="K39:R39"/>
    <mergeCell ref="C43:D43"/>
    <mergeCell ref="L43:M43"/>
    <mergeCell ref="N43:R43"/>
    <mergeCell ref="E43:H43"/>
  </mergeCells>
  <dataValidations count="1">
    <dataValidation type="list" allowBlank="1" showInputMessage="1" showErrorMessage="1" sqref="E40" xr:uid="{00000000-0002-0000-0700-000000000000}">
      <formula1>$V$7:$V$17</formula1>
    </dataValidation>
  </dataValidations>
  <pageMargins left="0.23622047244094491" right="0.23622047244094491" top="0.98812500000000003" bottom="0.74803149606299213" header="0.31496062992125984" footer="0.31496062992125984"/>
  <pageSetup paperSize="9" scale="61" orientation="portrait" r:id="rId1"/>
  <headerFooter>
    <oddHeader>&amp;L&amp;G&amp;R
Date: 01.11.2018
Creater: M. Eng. Dipl.-Ing. (FH) Torsten Langejürgen
Page &amp;P of &amp;N</oddHeader>
    <oddFooter>&amp;C&amp;10CONNECTING SYSTEMS FOR TIMBER CONSTRUCTION and FURNITURE &amp; INTERIEUR DESIGN
KNAPP GMBH, A-3324 Euratsfeld, Wassergasse 31,  AUSTRIA/EUROPE 
 Tel. +43(0)7474/79910,  Fax +43(0)7474/79910-99
eMail: info@knapp-connectors.com,  www.knapp-connectors.com&amp;R</oddFooter>
  </headerFooter>
  <rowBreaks count="2" manualBreakCount="2">
    <brk id="38" max="16383" man="1"/>
    <brk id="68" max="16383" man="1"/>
  </rowBreaks>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3000000}">
          <x14:formula1>
            <xm:f>'RICON_RICON-S-EK_GIGANT_WALCO '!$V$7:$V$16</xm:f>
          </x14:formula1>
          <xm:sqref>E5</xm:sqref>
        </x14:dataValidation>
        <x14:dataValidation type="list" allowBlank="1" showInputMessage="1" showErrorMessage="1" xr:uid="{00000000-0002-0000-0700-000001000000}">
          <x14:formula1>
            <xm:f>'RICON_RICON-S-EK_GIGANT_WALCO '!$U$678:$U$685</xm:f>
          </x14:formula1>
          <xm:sqref>E70</xm:sqref>
        </x14:dataValidation>
        <x14:dataValidation type="list" allowBlank="1" showInputMessage="1" showErrorMessage="1" xr:uid="{00000000-0002-0000-0700-000002000000}">
          <x14:formula1>
            <xm:f>'RICON_RICON-S-EK_GIGANT_WALCO '!$V$27:$V$28</xm:f>
          </x14:formula1>
          <xm:sqref>E6</xm:sqref>
        </x14:dataValidation>
        <x14:dataValidation type="list" allowBlank="1" showInputMessage="1" showErrorMessage="1" xr:uid="{00000000-0002-0000-0700-000004000000}">
          <x14:formula1>
            <xm:f>'RICON_RICON-S-EK_GIGANT_WALCO '!$V$27:$V$29</xm:f>
          </x14:formula1>
          <xm:sqref>E41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E09F-CD82-4269-8CAE-3FD62D106F30}">
  <dimension ref="A1:C94"/>
  <sheetViews>
    <sheetView topLeftCell="B1" workbookViewId="0">
      <selection activeCell="C21" sqref="C2:C21"/>
    </sheetView>
  </sheetViews>
  <sheetFormatPr baseColWidth="10" defaultRowHeight="15"/>
  <cols>
    <col min="1" max="1" width="87.7109375" customWidth="1"/>
    <col min="2" max="2" width="98.42578125" customWidth="1"/>
    <col min="3" max="3" width="94" customWidth="1"/>
  </cols>
  <sheetData>
    <row r="1" spans="1:3">
      <c r="A1" t="s">
        <v>883</v>
      </c>
      <c r="B1" t="s">
        <v>640</v>
      </c>
      <c r="C1" t="s">
        <v>884</v>
      </c>
    </row>
    <row r="2" spans="1:3">
      <c r="A2" t="s">
        <v>1101</v>
      </c>
      <c r="B2" t="s">
        <v>1192</v>
      </c>
      <c r="C2" t="s">
        <v>1102</v>
      </c>
    </row>
    <row r="3" spans="1:3">
      <c r="A3" t="s">
        <v>1008</v>
      </c>
      <c r="B3" t="s">
        <v>885</v>
      </c>
      <c r="C3" t="s">
        <v>1143</v>
      </c>
    </row>
    <row r="4" spans="1:3">
      <c r="A4" t="s">
        <v>1215</v>
      </c>
      <c r="B4" t="s">
        <v>1216</v>
      </c>
      <c r="C4" t="s">
        <v>1365</v>
      </c>
    </row>
    <row r="5" spans="1:3">
      <c r="A5" t="s">
        <v>859</v>
      </c>
      <c r="B5" t="s">
        <v>886</v>
      </c>
      <c r="C5" t="s">
        <v>887</v>
      </c>
    </row>
    <row r="6" spans="1:3">
      <c r="A6" t="s">
        <v>619</v>
      </c>
      <c r="B6" t="s">
        <v>633</v>
      </c>
      <c r="C6" t="s">
        <v>888</v>
      </c>
    </row>
    <row r="7" spans="1:3">
      <c r="A7" t="s">
        <v>850</v>
      </c>
      <c r="B7" t="s">
        <v>897</v>
      </c>
      <c r="C7" s="49" t="s">
        <v>1144</v>
      </c>
    </row>
    <row r="8" spans="1:3">
      <c r="A8" t="s">
        <v>852</v>
      </c>
      <c r="B8" t="s">
        <v>1193</v>
      </c>
      <c r="C8" s="49" t="s">
        <v>1145</v>
      </c>
    </row>
    <row r="9" spans="1:3">
      <c r="A9" t="s">
        <v>851</v>
      </c>
      <c r="B9" t="s">
        <v>898</v>
      </c>
      <c r="C9" s="49" t="s">
        <v>1146</v>
      </c>
    </row>
    <row r="10" spans="1:3">
      <c r="A10" t="s">
        <v>703</v>
      </c>
      <c r="B10" t="s">
        <v>419</v>
      </c>
      <c r="C10" t="s">
        <v>899</v>
      </c>
    </row>
    <row r="11" spans="1:3">
      <c r="A11" t="s">
        <v>391</v>
      </c>
      <c r="B11" t="s">
        <v>683</v>
      </c>
      <c r="C11" t="s">
        <v>900</v>
      </c>
    </row>
    <row r="12" spans="1:3">
      <c r="A12" t="s">
        <v>901</v>
      </c>
      <c r="B12" s="489" t="s">
        <v>1194</v>
      </c>
      <c r="C12" s="142" t="s">
        <v>903</v>
      </c>
    </row>
    <row r="13" spans="1:3">
      <c r="A13" t="s">
        <v>904</v>
      </c>
      <c r="B13" s="489" t="s">
        <v>423</v>
      </c>
      <c r="C13" t="s">
        <v>905</v>
      </c>
    </row>
    <row r="14" spans="1:3">
      <c r="A14" t="s">
        <v>1218</v>
      </c>
      <c r="B14" t="s">
        <v>1219</v>
      </c>
      <c r="C14" t="s">
        <v>1220</v>
      </c>
    </row>
    <row r="15" spans="1:3" ht="45">
      <c r="A15" s="62" t="s">
        <v>786</v>
      </c>
      <c r="B15" s="62" t="s">
        <v>906</v>
      </c>
      <c r="C15" s="226" t="s">
        <v>921</v>
      </c>
    </row>
    <row r="16" spans="1:3" ht="45">
      <c r="A16" s="62" t="s">
        <v>787</v>
      </c>
      <c r="B16" s="62" t="s">
        <v>907</v>
      </c>
      <c r="C16" s="62" t="s">
        <v>922</v>
      </c>
    </row>
    <row r="17" spans="1:3" ht="45">
      <c r="A17" s="62" t="s">
        <v>788</v>
      </c>
      <c r="B17" s="62" t="s">
        <v>908</v>
      </c>
      <c r="C17" s="62" t="s">
        <v>923</v>
      </c>
    </row>
    <row r="18" spans="1:3" ht="45">
      <c r="A18" s="62" t="s">
        <v>789</v>
      </c>
      <c r="B18" s="62" t="s">
        <v>909</v>
      </c>
      <c r="C18" s="62" t="s">
        <v>924</v>
      </c>
    </row>
    <row r="19" spans="1:3" ht="45">
      <c r="A19" s="62" t="s">
        <v>790</v>
      </c>
      <c r="B19" s="62" t="s">
        <v>910</v>
      </c>
      <c r="C19" s="62" t="s">
        <v>925</v>
      </c>
    </row>
    <row r="20" spans="1:3" ht="45.75" thickBot="1">
      <c r="A20" s="283" t="s">
        <v>791</v>
      </c>
      <c r="B20" s="283" t="s">
        <v>911</v>
      </c>
      <c r="C20" s="490" t="s">
        <v>926</v>
      </c>
    </row>
    <row r="21" spans="1:3" ht="45.75" thickTop="1">
      <c r="A21" s="259" t="s">
        <v>739</v>
      </c>
      <c r="B21" s="259" t="s">
        <v>912</v>
      </c>
      <c r="C21" s="491" t="s">
        <v>927</v>
      </c>
    </row>
    <row r="22" spans="1:3" ht="45">
      <c r="A22" s="259" t="s">
        <v>726</v>
      </c>
      <c r="B22" s="259" t="s">
        <v>913</v>
      </c>
      <c r="C22" s="62" t="s">
        <v>928</v>
      </c>
    </row>
    <row r="23" spans="1:3" ht="45">
      <c r="A23" s="62" t="s">
        <v>702</v>
      </c>
      <c r="B23" s="62" t="s">
        <v>914</v>
      </c>
      <c r="C23" s="62" t="s">
        <v>929</v>
      </c>
    </row>
    <row r="24" spans="1:3" ht="45.75" thickBot="1">
      <c r="A24" s="283" t="s">
        <v>701</v>
      </c>
      <c r="B24" s="283" t="s">
        <v>915</v>
      </c>
      <c r="C24" s="283" t="s">
        <v>930</v>
      </c>
    </row>
    <row r="25" spans="1:3" ht="45.75" thickTop="1">
      <c r="A25" s="259" t="s">
        <v>793</v>
      </c>
      <c r="B25" s="259" t="s">
        <v>916</v>
      </c>
      <c r="C25" s="259" t="s">
        <v>931</v>
      </c>
    </row>
    <row r="26" spans="1:3" ht="45">
      <c r="A26" s="62" t="s">
        <v>794</v>
      </c>
      <c r="B26" s="62" t="s">
        <v>917</v>
      </c>
      <c r="C26" s="62" t="s">
        <v>932</v>
      </c>
    </row>
    <row r="27" spans="1:3" ht="45">
      <c r="A27" s="62" t="s">
        <v>795</v>
      </c>
      <c r="B27" s="62" t="s">
        <v>918</v>
      </c>
      <c r="C27" s="62" t="s">
        <v>933</v>
      </c>
    </row>
    <row r="28" spans="1:3" ht="45">
      <c r="A28" s="62" t="s">
        <v>796</v>
      </c>
      <c r="B28" s="62" t="s">
        <v>919</v>
      </c>
      <c r="C28" s="62" t="s">
        <v>934</v>
      </c>
    </row>
    <row r="29" spans="1:3" ht="45">
      <c r="A29" s="62" t="s">
        <v>797</v>
      </c>
      <c r="B29" s="62" t="s">
        <v>920</v>
      </c>
      <c r="C29" s="62" t="s">
        <v>935</v>
      </c>
    </row>
    <row r="30" spans="1:3">
      <c r="A30" t="s">
        <v>792</v>
      </c>
      <c r="B30" s="459" t="s">
        <v>936</v>
      </c>
      <c r="C30" s="475" t="s">
        <v>1147</v>
      </c>
    </row>
    <row r="31" spans="1:3">
      <c r="A31" t="s">
        <v>856</v>
      </c>
      <c r="B31" t="s">
        <v>1186</v>
      </c>
      <c r="C31" s="49" t="s">
        <v>1148</v>
      </c>
    </row>
    <row r="32" spans="1:3">
      <c r="A32" s="68" t="s">
        <v>939</v>
      </c>
      <c r="B32" s="68" t="s">
        <v>938</v>
      </c>
      <c r="C32" s="68" t="s">
        <v>937</v>
      </c>
    </row>
    <row r="33" spans="1:3">
      <c r="A33" t="s">
        <v>940</v>
      </c>
      <c r="B33" t="s">
        <v>942</v>
      </c>
      <c r="C33" s="49" t="s">
        <v>1149</v>
      </c>
    </row>
    <row r="34" spans="1:3">
      <c r="A34" t="s">
        <v>941</v>
      </c>
      <c r="B34" t="s">
        <v>943</v>
      </c>
      <c r="C34" s="49" t="s">
        <v>944</v>
      </c>
    </row>
    <row r="35" spans="1:3" ht="30">
      <c r="A35" s="142" t="s">
        <v>945</v>
      </c>
      <c r="B35" s="142" t="s">
        <v>946</v>
      </c>
      <c r="C35" s="527" t="s">
        <v>1150</v>
      </c>
    </row>
    <row r="36" spans="1:3">
      <c r="A36" t="s">
        <v>1107</v>
      </c>
      <c r="B36" t="s">
        <v>1191</v>
      </c>
      <c r="C36" s="49" t="s">
        <v>1102</v>
      </c>
    </row>
    <row r="37" spans="1:3">
      <c r="A37" t="s">
        <v>704</v>
      </c>
      <c r="B37" t="s">
        <v>947</v>
      </c>
      <c r="C37" t="s">
        <v>1151</v>
      </c>
    </row>
    <row r="38" spans="1:3">
      <c r="A38" t="s">
        <v>390</v>
      </c>
      <c r="B38" t="s">
        <v>317</v>
      </c>
      <c r="C38" t="s">
        <v>948</v>
      </c>
    </row>
    <row r="39" spans="1:3" ht="45">
      <c r="A39" s="379" t="s">
        <v>1378</v>
      </c>
      <c r="B39" s="379" t="s">
        <v>1376</v>
      </c>
      <c r="C39" s="62" t="s">
        <v>1377</v>
      </c>
    </row>
    <row r="40" spans="1:3" ht="45">
      <c r="A40" s="379" t="s">
        <v>433</v>
      </c>
      <c r="B40" s="379" t="s">
        <v>503</v>
      </c>
      <c r="C40" s="62" t="s">
        <v>1152</v>
      </c>
    </row>
    <row r="41" spans="1:3" ht="45">
      <c r="A41" s="482" t="s">
        <v>798</v>
      </c>
      <c r="B41" s="492" t="s">
        <v>950</v>
      </c>
      <c r="C41" s="62" t="s">
        <v>967</v>
      </c>
    </row>
    <row r="42" spans="1:3" ht="45">
      <c r="A42" s="482" t="s">
        <v>434</v>
      </c>
      <c r="B42" s="492" t="s">
        <v>507</v>
      </c>
      <c r="C42" s="62" t="s">
        <v>968</v>
      </c>
    </row>
    <row r="43" spans="1:3" ht="45">
      <c r="A43" s="482" t="s">
        <v>435</v>
      </c>
      <c r="B43" s="492" t="s">
        <v>509</v>
      </c>
      <c r="C43" s="62" t="s">
        <v>969</v>
      </c>
    </row>
    <row r="44" spans="1:3" ht="45">
      <c r="A44" s="482" t="s">
        <v>436</v>
      </c>
      <c r="B44" s="492" t="s">
        <v>511</v>
      </c>
      <c r="C44" s="62" t="s">
        <v>970</v>
      </c>
    </row>
    <row r="45" spans="1:3" ht="45.75" thickBot="1">
      <c r="A45" s="483" t="s">
        <v>799</v>
      </c>
      <c r="B45" s="493" t="s">
        <v>951</v>
      </c>
      <c r="C45" s="283" t="s">
        <v>971</v>
      </c>
    </row>
    <row r="46" spans="1:3" ht="45.75" thickTop="1">
      <c r="A46" s="484" t="s">
        <v>800</v>
      </c>
      <c r="B46" s="494" t="s">
        <v>952</v>
      </c>
      <c r="C46" s="259" t="s">
        <v>972</v>
      </c>
    </row>
    <row r="47" spans="1:3" ht="45">
      <c r="A47" s="482" t="s">
        <v>437</v>
      </c>
      <c r="B47" s="492" t="s">
        <v>517</v>
      </c>
      <c r="C47" s="259" t="s">
        <v>973</v>
      </c>
    </row>
    <row r="48" spans="1:3" ht="45">
      <c r="A48" s="482" t="s">
        <v>438</v>
      </c>
      <c r="B48" s="492" t="s">
        <v>519</v>
      </c>
      <c r="C48" s="259" t="s">
        <v>974</v>
      </c>
    </row>
    <row r="49" spans="1:3" ht="45">
      <c r="A49" s="482" t="s">
        <v>439</v>
      </c>
      <c r="B49" s="492" t="s">
        <v>521</v>
      </c>
      <c r="C49" s="259" t="s">
        <v>975</v>
      </c>
    </row>
    <row r="50" spans="1:3" ht="45.75" thickBot="1">
      <c r="A50" s="485" t="s">
        <v>801</v>
      </c>
      <c r="B50" s="495" t="s">
        <v>953</v>
      </c>
      <c r="C50" s="496" t="s">
        <v>976</v>
      </c>
    </row>
    <row r="51" spans="1:3" ht="45">
      <c r="A51" s="484" t="s">
        <v>802</v>
      </c>
      <c r="B51" s="494" t="s">
        <v>954</v>
      </c>
      <c r="C51" s="259" t="s">
        <v>977</v>
      </c>
    </row>
    <row r="52" spans="1:3" ht="45">
      <c r="A52" s="482" t="s">
        <v>803</v>
      </c>
      <c r="B52" s="492" t="s">
        <v>955</v>
      </c>
      <c r="C52" s="62" t="s">
        <v>978</v>
      </c>
    </row>
    <row r="53" spans="1:3" ht="45">
      <c r="A53" s="482" t="s">
        <v>804</v>
      </c>
      <c r="B53" s="492" t="s">
        <v>956</v>
      </c>
      <c r="C53" s="62" t="s">
        <v>979</v>
      </c>
    </row>
    <row r="54" spans="1:3" ht="45">
      <c r="A54" s="482" t="s">
        <v>805</v>
      </c>
      <c r="B54" s="492" t="s">
        <v>957</v>
      </c>
      <c r="C54" s="62" t="s">
        <v>980</v>
      </c>
    </row>
    <row r="55" spans="1:3" ht="45">
      <c r="A55" s="482" t="s">
        <v>806</v>
      </c>
      <c r="B55" s="492" t="s">
        <v>958</v>
      </c>
      <c r="C55" s="62" t="s">
        <v>981</v>
      </c>
    </row>
    <row r="56" spans="1:3" ht="45.75" thickBot="1">
      <c r="A56" s="483" t="s">
        <v>807</v>
      </c>
      <c r="B56" s="493" t="s">
        <v>959</v>
      </c>
      <c r="C56" s="283" t="s">
        <v>982</v>
      </c>
    </row>
    <row r="57" spans="1:3" ht="45.75" thickTop="1">
      <c r="A57" s="484" t="s">
        <v>808</v>
      </c>
      <c r="B57" s="494" t="s">
        <v>960</v>
      </c>
      <c r="C57" s="259" t="s">
        <v>983</v>
      </c>
    </row>
    <row r="58" spans="1:3" ht="45">
      <c r="A58" s="482" t="s">
        <v>809</v>
      </c>
      <c r="B58" s="492" t="s">
        <v>961</v>
      </c>
      <c r="C58" s="62" t="s">
        <v>984</v>
      </c>
    </row>
    <row r="59" spans="1:3" ht="45">
      <c r="A59" s="482" t="s">
        <v>810</v>
      </c>
      <c r="B59" s="492" t="s">
        <v>962</v>
      </c>
      <c r="C59" s="62" t="s">
        <v>985</v>
      </c>
    </row>
    <row r="60" spans="1:3" ht="45">
      <c r="A60" s="482" t="s">
        <v>811</v>
      </c>
      <c r="B60" s="492" t="s">
        <v>963</v>
      </c>
      <c r="C60" s="62" t="s">
        <v>986</v>
      </c>
    </row>
    <row r="61" spans="1:3" ht="45.75" thickBot="1">
      <c r="A61" s="485" t="s">
        <v>812</v>
      </c>
      <c r="B61" s="495" t="s">
        <v>964</v>
      </c>
      <c r="C61" s="496" t="s">
        <v>987</v>
      </c>
    </row>
    <row r="62" spans="1:3" ht="45">
      <c r="A62" s="820" t="s">
        <v>1379</v>
      </c>
      <c r="B62" s="821" t="s">
        <v>1383</v>
      </c>
      <c r="C62" s="818" t="s">
        <v>1388</v>
      </c>
    </row>
    <row r="63" spans="1:3" ht="45">
      <c r="A63" s="820" t="s">
        <v>1380</v>
      </c>
      <c r="B63" s="821" t="s">
        <v>1384</v>
      </c>
      <c r="C63" s="818" t="s">
        <v>1387</v>
      </c>
    </row>
    <row r="64" spans="1:3" ht="45">
      <c r="A64" s="820" t="s">
        <v>1381</v>
      </c>
      <c r="B64" s="821" t="s">
        <v>1385</v>
      </c>
      <c r="C64" s="818" t="s">
        <v>1389</v>
      </c>
    </row>
    <row r="65" spans="1:3" ht="45.75" thickBot="1">
      <c r="A65" s="819" t="s">
        <v>1382</v>
      </c>
      <c r="B65" s="822" t="s">
        <v>1386</v>
      </c>
      <c r="C65" s="823" t="s">
        <v>1390</v>
      </c>
    </row>
    <row r="66" spans="1:3" ht="45.75" thickTop="1">
      <c r="A66" s="484" t="s">
        <v>813</v>
      </c>
      <c r="B66" s="494" t="s">
        <v>965</v>
      </c>
      <c r="C66" s="259" t="s">
        <v>988</v>
      </c>
    </row>
    <row r="67" spans="1:3" ht="45">
      <c r="A67" s="482" t="s">
        <v>814</v>
      </c>
      <c r="B67" s="494" t="s">
        <v>966</v>
      </c>
      <c r="C67" s="62" t="s">
        <v>989</v>
      </c>
    </row>
    <row r="68" spans="1:3" ht="15" customHeight="1">
      <c r="A68" t="s">
        <v>1101</v>
      </c>
      <c r="B68" t="s">
        <v>1192</v>
      </c>
      <c r="C68" t="s">
        <v>1102</v>
      </c>
    </row>
    <row r="69" spans="1:3">
      <c r="A69" t="s">
        <v>410</v>
      </c>
      <c r="B69" t="s">
        <v>990</v>
      </c>
      <c r="C69" t="s">
        <v>991</v>
      </c>
    </row>
    <row r="70" spans="1:3">
      <c r="A70" t="s">
        <v>1195</v>
      </c>
      <c r="B70" t="s">
        <v>636</v>
      </c>
      <c r="C70" t="s">
        <v>992</v>
      </c>
    </row>
    <row r="71" spans="1:3">
      <c r="A71" t="s">
        <v>1238</v>
      </c>
      <c r="B71" t="s">
        <v>1236</v>
      </c>
      <c r="C71" t="s">
        <v>1237</v>
      </c>
    </row>
    <row r="72" spans="1:3" ht="15.75">
      <c r="A72" s="481" t="s">
        <v>855</v>
      </c>
      <c r="B72" t="s">
        <v>995</v>
      </c>
      <c r="C72" t="s">
        <v>1366</v>
      </c>
    </row>
    <row r="73" spans="1:3">
      <c r="A73" t="s">
        <v>993</v>
      </c>
      <c r="B73" t="s">
        <v>996</v>
      </c>
      <c r="C73" t="s">
        <v>1367</v>
      </c>
    </row>
    <row r="74" spans="1:3">
      <c r="A74" t="s">
        <v>994</v>
      </c>
      <c r="B74" t="s">
        <v>997</v>
      </c>
      <c r="C74" t="s">
        <v>1368</v>
      </c>
    </row>
    <row r="75" spans="1:3">
      <c r="A75" t="s">
        <v>999</v>
      </c>
      <c r="B75" t="s">
        <v>998</v>
      </c>
      <c r="C75" t="s">
        <v>1204</v>
      </c>
    </row>
    <row r="76" spans="1:3">
      <c r="A76" t="s">
        <v>412</v>
      </c>
      <c r="B76" t="s">
        <v>429</v>
      </c>
      <c r="C76" t="s">
        <v>1000</v>
      </c>
    </row>
    <row r="77" spans="1:3">
      <c r="A77" t="s">
        <v>413</v>
      </c>
      <c r="B77" t="s">
        <v>430</v>
      </c>
      <c r="C77" t="s">
        <v>1001</v>
      </c>
    </row>
    <row r="78" spans="1:3">
      <c r="A78" t="s">
        <v>857</v>
      </c>
      <c r="B78" t="s">
        <v>1002</v>
      </c>
      <c r="C78" t="s">
        <v>1003</v>
      </c>
    </row>
    <row r="79" spans="1:3" ht="18">
      <c r="A79" s="501" t="s">
        <v>737</v>
      </c>
      <c r="B79" s="501" t="s">
        <v>1004</v>
      </c>
      <c r="C79" s="501" t="s">
        <v>1005</v>
      </c>
    </row>
    <row r="80" spans="1:3" ht="18">
      <c r="A80" s="49" t="s">
        <v>858</v>
      </c>
      <c r="B80" t="s">
        <v>1006</v>
      </c>
      <c r="C80" s="68" t="s">
        <v>1369</v>
      </c>
    </row>
    <row r="81" spans="1:3">
      <c r="A81" s="68" t="s">
        <v>1007</v>
      </c>
      <c r="B81" s="68" t="s">
        <v>1190</v>
      </c>
      <c r="C81" s="68" t="s">
        <v>1153</v>
      </c>
    </row>
    <row r="82" spans="1:3">
      <c r="A82" s="68"/>
      <c r="B82" s="68"/>
      <c r="C82" s="68"/>
    </row>
    <row r="83" spans="1:3">
      <c r="A83" s="68" t="s">
        <v>1131</v>
      </c>
      <c r="B83" s="68"/>
      <c r="C83" s="68"/>
    </row>
    <row r="84" spans="1:3">
      <c r="A84" s="68" t="s">
        <v>1121</v>
      </c>
      <c r="B84" s="68" t="s">
        <v>1126</v>
      </c>
      <c r="C84" s="68" t="s">
        <v>1370</v>
      </c>
    </row>
    <row r="85" spans="1:3">
      <c r="A85" s="68" t="s">
        <v>1122</v>
      </c>
      <c r="B85" s="68" t="s">
        <v>1127</v>
      </c>
      <c r="C85" s="68" t="s">
        <v>1371</v>
      </c>
    </row>
    <row r="86" spans="1:3">
      <c r="A86" s="68" t="s">
        <v>1123</v>
      </c>
      <c r="B86" s="68" t="s">
        <v>1187</v>
      </c>
      <c r="C86" s="68" t="s">
        <v>1128</v>
      </c>
    </row>
    <row r="87" spans="1:3">
      <c r="A87" s="68" t="s">
        <v>1124</v>
      </c>
      <c r="B87" s="68" t="s">
        <v>1188</v>
      </c>
      <c r="C87" s="68" t="s">
        <v>1129</v>
      </c>
    </row>
    <row r="88" spans="1:3">
      <c r="A88" s="68" t="s">
        <v>1125</v>
      </c>
      <c r="B88" s="68" t="s">
        <v>1189</v>
      </c>
      <c r="C88" s="68" t="s">
        <v>1130</v>
      </c>
    </row>
    <row r="89" spans="1:3">
      <c r="A89" s="68" t="s">
        <v>1132</v>
      </c>
      <c r="B89" s="68" t="s">
        <v>1136</v>
      </c>
      <c r="C89" s="68" t="s">
        <v>1140</v>
      </c>
    </row>
    <row r="90" spans="1:3">
      <c r="A90" s="68" t="s">
        <v>1133</v>
      </c>
      <c r="B90" s="68" t="s">
        <v>1137</v>
      </c>
      <c r="C90" s="68" t="s">
        <v>1141</v>
      </c>
    </row>
    <row r="91" spans="1:3">
      <c r="A91" s="68" t="s">
        <v>1134</v>
      </c>
      <c r="B91" s="68" t="s">
        <v>1138</v>
      </c>
      <c r="C91" s="68" t="s">
        <v>1138</v>
      </c>
    </row>
    <row r="92" spans="1:3">
      <c r="A92" s="68" t="s">
        <v>1135</v>
      </c>
      <c r="B92" s="68" t="s">
        <v>1139</v>
      </c>
      <c r="C92" s="68" t="s">
        <v>1142</v>
      </c>
    </row>
    <row r="93" spans="1:3">
      <c r="A93" s="68"/>
      <c r="B93" s="68"/>
      <c r="C93" s="68"/>
    </row>
    <row r="94" spans="1:3">
      <c r="A94" s="68"/>
      <c r="B94" s="68"/>
      <c r="C94" s="68"/>
    </row>
  </sheetData>
  <sheetProtection algorithmName="SHA-512" hashValue="Q9uDd3LUS+uNjbbHS+92t3VzOqcA8ZdweMiLKY2VUIKQmfJTFUpE7t70q9qarZPA1TISysI30I9ceX2VmVUO4w==" saltValue="9MhIpaAjViCLy7JJTHpLtA==" spinCount="100000" sheet="1" objects="1" scenarios="1" selectLockedCells="1"/>
  <phoneticPr fontId="56"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T119"/>
  <sheetViews>
    <sheetView showGridLines="0" showRowColHeaders="0" view="pageLayout" zoomScale="90" zoomScaleNormal="100" zoomScaleSheetLayoutView="90" zoomScalePageLayoutView="90" workbookViewId="0">
      <selection activeCell="K7" sqref="K7"/>
    </sheetView>
  </sheetViews>
  <sheetFormatPr baseColWidth="10" defaultRowHeight="15"/>
  <cols>
    <col min="1" max="1" width="27.42578125" customWidth="1"/>
    <col min="2" max="2" width="24.85546875" bestFit="1" customWidth="1"/>
    <col min="4" max="4" width="25" customWidth="1"/>
    <col min="10" max="10" width="13.42578125" customWidth="1"/>
    <col min="11" max="11" width="14.7109375" customWidth="1"/>
    <col min="12" max="12" width="1.42578125" customWidth="1"/>
    <col min="13" max="13" width="13.7109375" customWidth="1"/>
    <col min="14" max="19" width="11.42578125" customWidth="1"/>
  </cols>
  <sheetData>
    <row r="1" spans="1:20" ht="21" customHeight="1">
      <c r="A1" s="758" t="str">
        <f>HLOOKUP(K7,'RICON-S_Sprachen_DE-EN-FR'!A1:C2,2,FALSE)</f>
        <v>Belastungstabelle von KNAPP® RICON® S nach ETA-10/0189 (Ausgabe 25/08/2022)</v>
      </c>
      <c r="B1" s="758"/>
      <c r="C1" s="758"/>
      <c r="D1" s="758"/>
      <c r="E1" s="758"/>
      <c r="F1" s="758"/>
      <c r="G1" s="758"/>
      <c r="H1" s="758"/>
      <c r="I1" s="758"/>
      <c r="J1" s="758"/>
      <c r="K1" s="758"/>
      <c r="L1" s="425"/>
      <c r="M1" s="425"/>
      <c r="N1" s="425"/>
      <c r="O1" s="425"/>
      <c r="P1" s="425"/>
      <c r="Q1" s="425"/>
      <c r="R1" s="425"/>
    </row>
    <row r="2" spans="1:20" ht="21.6" customHeight="1" thickBot="1">
      <c r="A2" s="759"/>
      <c r="B2" s="759"/>
      <c r="C2" s="759"/>
      <c r="D2" s="759"/>
      <c r="E2" s="759"/>
      <c r="F2" s="759"/>
      <c r="G2" s="759"/>
      <c r="H2" s="759"/>
      <c r="I2" s="759"/>
      <c r="J2" s="759"/>
      <c r="K2" s="759"/>
      <c r="L2" s="425"/>
      <c r="M2" s="425"/>
      <c r="N2" s="425"/>
      <c r="O2" s="425"/>
      <c r="P2" s="425"/>
      <c r="Q2" s="425"/>
      <c r="R2" s="425"/>
    </row>
    <row r="3" spans="1:20" ht="21.6" customHeight="1">
      <c r="A3" s="344"/>
      <c r="B3" s="344"/>
      <c r="C3" s="344"/>
      <c r="D3" s="344"/>
      <c r="E3" s="344"/>
      <c r="F3" s="344"/>
      <c r="H3" s="813" t="s">
        <v>1375</v>
      </c>
      <c r="I3" s="813"/>
      <c r="J3" s="761">
        <v>44946</v>
      </c>
      <c r="K3" s="761"/>
      <c r="L3" s="426"/>
      <c r="M3" s="426"/>
      <c r="N3" s="426"/>
      <c r="O3" s="426"/>
      <c r="P3" s="426"/>
      <c r="Q3" s="426"/>
      <c r="R3" s="426"/>
      <c r="S3" s="426"/>
      <c r="T3" s="426"/>
    </row>
    <row r="4" spans="1:20" ht="33.75">
      <c r="A4" s="370" t="str">
        <f>HLOOKUP(K7,'RICON-S_Sprachen_DE-EN-FR'!A1:C3,3,FALSE)</f>
        <v>RICON® S EK: (RICON® S mit einstellbaren Kragenbolzen)</v>
      </c>
      <c r="B4" s="371"/>
      <c r="C4" s="371"/>
      <c r="D4" s="371"/>
      <c r="E4" s="371"/>
      <c r="F4" s="371"/>
      <c r="G4" s="371"/>
      <c r="H4" s="371"/>
      <c r="I4" s="371"/>
      <c r="J4" s="369"/>
      <c r="K4" s="369"/>
      <c r="L4" s="427"/>
      <c r="M4" s="427"/>
      <c r="N4" s="427"/>
      <c r="O4" s="427"/>
      <c r="P4" s="427"/>
      <c r="Q4" s="427"/>
      <c r="R4" s="427"/>
      <c r="S4" s="427"/>
      <c r="T4" s="427"/>
    </row>
    <row r="5" spans="1:20" ht="33.75">
      <c r="A5" s="370" t="str">
        <f>HLOOKUP(K7,'RICON-S_Sprachen_DE-EN-FR'!A1:C4,4,FALSE)</f>
        <v>RICON® S GK: (RICON® S mit gefederten Kragenbolzen)</v>
      </c>
      <c r="B5" s="371"/>
      <c r="C5" s="371"/>
      <c r="D5" s="371"/>
      <c r="E5" s="371"/>
      <c r="F5" s="371"/>
      <c r="G5" s="371"/>
      <c r="H5" s="371"/>
      <c r="I5" s="371"/>
      <c r="J5" s="369"/>
      <c r="K5" s="369"/>
      <c r="L5" s="427"/>
      <c r="M5" s="427"/>
      <c r="N5" s="427"/>
      <c r="O5" s="427"/>
      <c r="P5" s="427"/>
      <c r="Q5" s="427"/>
      <c r="R5" s="427"/>
      <c r="S5" s="427"/>
      <c r="T5" s="427"/>
    </row>
    <row r="6" spans="1:20" ht="21">
      <c r="A6" s="337" t="str">
        <f>HLOOKUP(K7,'RICON-S_Sprachen_DE-EN-FR'!A1:C5,5,FALSE)</f>
        <v>Belastungswerte:</v>
      </c>
      <c r="B6" s="649" t="s">
        <v>1210</v>
      </c>
      <c r="C6" s="362"/>
      <c r="D6" s="362" t="str">
        <f>HLOOKUP(K7,'RICON-S_Sprachen_DE-EN-FR'!A1:C6,6,FALSE)</f>
        <v>Festigkeitsklasse:</v>
      </c>
      <c r="E6" s="400" t="s">
        <v>25</v>
      </c>
      <c r="G6" s="391" t="str">
        <f>VLOOKUP(E6,'RICON_RICON-S-EK_GIGANT_WALCO '!V7:Z18,5,FALSE)</f>
        <v>Brettschichtholz homogen</v>
      </c>
      <c r="H6" s="391"/>
      <c r="K6" s="161" t="str">
        <f>IF(K7="DE","Language",IF(K7="EN","Language","Langue"))</f>
        <v>Language</v>
      </c>
      <c r="L6" s="362"/>
      <c r="M6" s="362"/>
      <c r="N6" s="362"/>
      <c r="O6" s="362"/>
      <c r="P6" s="362"/>
      <c r="Q6" s="362"/>
      <c r="R6" s="362"/>
    </row>
    <row r="7" spans="1:20" ht="21">
      <c r="A7" s="772" t="str">
        <f>IF(B6='RICON_RICON-S-EK_GIGANT_WALCO '!$V$20,HLOOKUP($K$7,'RICON_RICON-S-EK_GIGANT_WALCO '!$V$19:$Y$23,2,FALSE),IF(B6='RICON_RICON-S-EK_GIGANT_WALCO '!$V$21,HLOOKUP($K$7,'RICON_RICON-S-EK_GIGANT_WALCO '!$V$19:$Y$23,3,FALSE),IF(B6='RICON_RICON-S-EK_GIGANT_WALCO '!$V$22,HLOOKUP($K$7,'RICON_RICON-S-EK_GIGANT_WALCO '!$V$19:$Y$23,4,FALSE),HLOOKUP($K$7,'RICON_RICON-S-EK_GIGANT_WALCO '!$V$19:$Y$23,5,FALSE))))</f>
        <v>In Einschubrichtung</v>
      </c>
      <c r="B7" s="772"/>
      <c r="C7" s="772"/>
      <c r="D7" s="362" t="str">
        <f>HLOOKUP(K7,'RICON-S_Sprachen_DE-EN-FR'!A1:C7,7,FALSE)</f>
        <v>Nutzungsklasse NKL:</v>
      </c>
      <c r="E7" s="400">
        <v>1</v>
      </c>
      <c r="G7" s="391" t="str">
        <f>VLOOKUP(E7,'RICON_RICON-S-EK_GIGANT_WALCO '!V26:Y29,4,FALSE)</f>
        <v>Innenbereich</v>
      </c>
      <c r="H7" s="392"/>
      <c r="K7" s="488" t="s">
        <v>883</v>
      </c>
    </row>
    <row r="8" spans="1:20" ht="21.6" customHeight="1">
      <c r="A8" s="344"/>
      <c r="B8" s="344"/>
      <c r="C8" s="344"/>
      <c r="D8" s="344"/>
      <c r="E8" s="344"/>
      <c r="F8" s="344"/>
      <c r="G8" s="344"/>
      <c r="H8" s="344"/>
      <c r="I8" s="344"/>
      <c r="K8" s="344"/>
      <c r="L8" s="344"/>
      <c r="M8" s="344"/>
      <c r="N8" s="344"/>
      <c r="O8" s="344"/>
      <c r="P8" s="344"/>
      <c r="Q8" s="344"/>
      <c r="R8" s="344"/>
    </row>
    <row r="10" spans="1:20" ht="18.75">
      <c r="A10" s="339"/>
      <c r="B10" s="339"/>
      <c r="K10" s="339"/>
    </row>
    <row r="11" spans="1:20" ht="18.75">
      <c r="A11" s="339"/>
      <c r="B11" s="339"/>
      <c r="K11" s="339"/>
    </row>
    <row r="12" spans="1:20" ht="18.75">
      <c r="A12" s="339"/>
      <c r="B12" s="339"/>
      <c r="K12" s="339"/>
    </row>
    <row r="13" spans="1:20" ht="18.75">
      <c r="A13" s="339"/>
      <c r="B13" s="339"/>
      <c r="K13" s="339"/>
    </row>
    <row r="14" spans="1:20" ht="18.75">
      <c r="A14" s="339"/>
      <c r="B14" s="339"/>
      <c r="K14" s="339"/>
    </row>
    <row r="15" spans="1:20" ht="18.75">
      <c r="A15" s="339"/>
      <c r="B15" s="339"/>
      <c r="K15" s="339"/>
    </row>
    <row r="16" spans="1:20" ht="18.75">
      <c r="A16" s="339"/>
      <c r="B16" s="339"/>
      <c r="D16" t="str">
        <f>HLOOKUP($K$7,'RICON-S_Sprachen_DE-EN-FR'!$A$1:C80,80,FALSE)</f>
        <v>1. Hauptträger</v>
      </c>
      <c r="K16" s="339"/>
    </row>
    <row r="17" spans="1:19" ht="18.75">
      <c r="A17" s="339"/>
      <c r="B17" s="339"/>
      <c r="D17" t="str">
        <f>HLOOKUP($K$7,'RICON-S_Sprachen_DE-EN-FR'!$A$1:C81,81,FALSE)</f>
        <v>2. Nebenträger</v>
      </c>
      <c r="K17" s="339"/>
    </row>
    <row r="18" spans="1:19" ht="18.75">
      <c r="A18" s="479" t="str">
        <f>HLOOKUP(K7,'RICON-S_Sprachen_DE-EN-FR'!A1:C8,8,FALSE)</f>
        <v>Bild 1: RICON® S60 EK Einzelanschluss</v>
      </c>
      <c r="B18" s="339"/>
      <c r="K18" s="339"/>
    </row>
    <row r="19" spans="1:19" ht="21">
      <c r="A19" s="335"/>
      <c r="B19" s="335"/>
      <c r="K19" s="335"/>
    </row>
    <row r="20" spans="1:19" ht="18" customHeight="1">
      <c r="A20" s="528" t="str">
        <f>HLOOKUP($K$7,'RICON-S_Sprachen_DE-EN-FR'!$A$1:$C$9,9,FALSE)</f>
        <v>KNAPP®Verbinder</v>
      </c>
      <c r="B20" s="769" t="str">
        <f>HLOOKUP(K7,'RICON-S_Sprachen_DE-EN-FR'!A1:C10,10,FALSE)</f>
        <v>Min. Nebenträgerabmessungen [mm]</v>
      </c>
      <c r="C20" s="768" t="str">
        <f>HLOOKUP(K7,'RICON-S_Sprachen_DE-EN-FR'!A1:C11,11,FALSE)</f>
        <v>Charakteristische Werte [kN]</v>
      </c>
      <c r="D20" s="768"/>
      <c r="E20" s="545" t="str">
        <f>IF(B6='RICON_RICON-S-EK_GIGANT_WALCO '!$V$20,"F1,KCC,Rd",IF(B6='RICON_RICON-S-EK_GIGANT_WALCO '!$V$21,"F2,KCC,Rd",IF(B6='RICON_RICON-S-EK_GIGANT_WALCO '!$V$22,"F3,KCC,Rd","F45,KCC,Rd")))</f>
        <v>F2,KCC,Rd</v>
      </c>
      <c r="F20" s="766" t="str">
        <f>HLOOKUP(K7,'RICON-S_Sprachen_DE-EN-FR'!A1:C12,12,FALSE)</f>
        <v xml:space="preserve">Bemessungswerte </v>
      </c>
      <c r="G20" s="767"/>
      <c r="H20" s="767"/>
      <c r="I20" s="542" t="str">
        <f>IF(B6='RICON_RICON-S-EK_GIGANT_WALCO '!$V$20,"F1,Rd [kN]",IF(B6='RICON_RICON-S-EK_GIGANT_WALCO '!$V$21,"F2,Rd [kN]",IF(B6='RICON_RICON-S-EK_GIGANT_WALCO '!$V$22,"F3,Rd [kN]","F45,Rd [kN]")))</f>
        <v>F2,Rd [kN]</v>
      </c>
      <c r="J20" s="542" t="str">
        <f>E6</f>
        <v>GL24h</v>
      </c>
      <c r="K20" s="531" t="s">
        <v>1203</v>
      </c>
      <c r="L20" s="440"/>
      <c r="M20" s="375"/>
    </row>
    <row r="21" spans="1:19" ht="33.75" customHeight="1">
      <c r="A21" s="538"/>
      <c r="B21" s="770"/>
      <c r="C21" s="529" t="str">
        <f>IF(B6='RICON_RICON-S-EK_GIGANT_WALCO '!$V$20,"F1,KCC,RK",IF(B6='RICON_RICON-S-EK_GIGANT_WALCO '!$V$21,"F2,KCC,RK",IF(B6='RICON_RICON-S-EK_GIGANT_WALCO '!$V$22,"F3,KCC,RK","F45,KCC,Rk")))</f>
        <v>F2,KCC,RK</v>
      </c>
      <c r="D21" s="544" t="str">
        <f>IF(B6='RICON_RICON-S-EK_GIGANT_WALCO '!$V$20,"F1,RK",IF(B6='RICON_RICON-S-EK_GIGANT_WALCO '!$V$21,"F2,RK",IF(B6='RICON_RICON-S-EK_GIGANT_WALCO '!$V$22,"F3,RK","F45,Rk")))</f>
        <v>F2,RK</v>
      </c>
      <c r="E21" s="547">
        <f>IF(B6='RICON_RICON-S-EK_GIGANT_WALCO '!$V$22,1.25,1)</f>
        <v>1</v>
      </c>
      <c r="F21" s="535">
        <v>0.6</v>
      </c>
      <c r="G21" s="535">
        <v>0.7</v>
      </c>
      <c r="H21" s="535">
        <v>0.8</v>
      </c>
      <c r="I21" s="535">
        <v>0.9</v>
      </c>
      <c r="J21" s="535">
        <v>1</v>
      </c>
      <c r="K21" s="535">
        <v>1.1000000000000001</v>
      </c>
      <c r="L21" s="438"/>
      <c r="M21" s="428"/>
      <c r="N21" s="428"/>
      <c r="O21" s="428"/>
      <c r="P21" s="428"/>
      <c r="Q21" s="428"/>
      <c r="R21" s="428"/>
      <c r="S21" s="428"/>
    </row>
    <row r="22" spans="1:19" ht="48" customHeight="1">
      <c r="A22" s="269" t="str">
        <f>HLOOKUP($K$7,'RICON-S_Sprachen_DE-EN-FR'!$A$1:$C$22,13,FALSE)</f>
        <v>RICON® S 140/60 EK/GK Min
HT:  7xSK8x80
NT: 7xSK8x160</v>
      </c>
      <c r="B22" s="354" t="s">
        <v>456</v>
      </c>
      <c r="C22" s="550">
        <f>IF($B$6='RICON_RICON-S-EK_GIGANT_WALCO '!$V$20,'RICON_RICON-S-EK_GIGANT_WALCO '!B43*'RICON_RICON-S-EK_GIGANT_WALCO '!E43,IF('RICON-S'!$B$6='RICON_RICON-S-EK_GIGANT_WALCO '!$V$21,'RICON_RICON-S-EK_GIGANT_WALCO '!C273,IF('RICON-S'!$B$6='RICON_RICON-S-EK_GIGANT_WALCO '!$V$22,18,'RICON_RICON-S-EK_GIGANT_WALCO '!C941)))</f>
        <v>34</v>
      </c>
      <c r="D22" s="550">
        <f>IF($B$6='RICON_RICON-S-EK_GIGANT_WALCO '!$V$20,'RICON_RICON-S-EK_GIGANT_WALCO '!L43,IF('RICON-S'!$B$6='RICON_RICON-S-EK_GIGANT_WALCO '!$V$21,'RICON_RICON-S-EK_GIGANT_WALCO '!F273,IF('RICON-S'!$B$6='RICON_RICON-S-EK_GIGANT_WALCO '!$V$22,'RICON_RICON-S-EK_GIGANT_WALCO '!F273,'RICON_RICON-S-EK_GIGANT_WALCO '!E941)))</f>
        <v>26.949266771153084</v>
      </c>
      <c r="E22" s="546">
        <f>C22/$E$21</f>
        <v>34</v>
      </c>
      <c r="F22" s="81">
        <f>MIN($E22,$D22*F$21/1.3)</f>
        <v>12.438123125147577</v>
      </c>
      <c r="G22" s="81">
        <f t="shared" ref="G22:K31" si="0">MIN($E22,$D22*G$21/1.3)</f>
        <v>14.511143646005506</v>
      </c>
      <c r="H22" s="81">
        <f t="shared" si="0"/>
        <v>16.584164166863435</v>
      </c>
      <c r="I22" s="81">
        <f t="shared" si="0"/>
        <v>18.657184687721365</v>
      </c>
      <c r="J22" s="81">
        <f t="shared" si="0"/>
        <v>20.730205208579296</v>
      </c>
      <c r="K22" s="81">
        <f t="shared" si="0"/>
        <v>22.803225729437226</v>
      </c>
      <c r="L22" s="438"/>
      <c r="M22" s="428"/>
      <c r="N22" s="428"/>
      <c r="O22" s="428"/>
      <c r="P22" s="428"/>
      <c r="Q22" s="428"/>
      <c r="R22" s="428"/>
      <c r="S22" s="428"/>
    </row>
    <row r="23" spans="1:19" ht="45">
      <c r="A23" s="269" t="str">
        <f>HLOOKUP($K$7,'RICON-S_Sprachen_DE-EN-FR'!$A$1:$C$22,14,FALSE)</f>
        <v>RICON® S 140/60 EK/GK ST
HT: 10xSK8x80
NT: 10xSK8x160</v>
      </c>
      <c r="B23" s="354" t="s">
        <v>456</v>
      </c>
      <c r="C23" s="550">
        <f>IF($B$6='RICON_RICON-S-EK_GIGANT_WALCO '!$V$20,'RICON_RICON-S-EK_GIGANT_WALCO '!B44*'RICON_RICON-S-EK_GIGANT_WALCO '!E44,IF('RICON-S'!$B$6='RICON_RICON-S-EK_GIGANT_WALCO '!$V$21,'RICON_RICON-S-EK_GIGANT_WALCO '!C274,IF('RICON-S'!$B$6='RICON_RICON-S-EK_GIGANT_WALCO '!$V$22,18,'RICON_RICON-S-EK_GIGANT_WALCO '!C942)))</f>
        <v>34</v>
      </c>
      <c r="D23" s="550">
        <f>IF($B$6='RICON_RICON-S-EK_GIGANT_WALCO '!$V$20,'RICON_RICON-S-EK_GIGANT_WALCO '!L44,IF('RICON-S'!$B$6='RICON_RICON-S-EK_GIGANT_WALCO '!$V$21,'RICON_RICON-S-EK_GIGANT_WALCO '!F274,IF('RICON-S'!$B$6='RICON_RICON-S-EK_GIGANT_WALCO '!$V$22,'RICON_RICON-S-EK_GIGANT_WALCO '!F274,'RICON_RICON-S-EK_GIGANT_WALCO '!E942)))</f>
        <v>37.149991394525706</v>
      </c>
      <c r="E23" s="546">
        <f t="shared" ref="E23:E31" si="1">C23/$E$21</f>
        <v>34</v>
      </c>
      <c r="F23" s="81">
        <f t="shared" ref="F23:F31" si="2">MIN($E23,$D23*F$21/1.3)</f>
        <v>17.146149874396478</v>
      </c>
      <c r="G23" s="81">
        <f t="shared" si="0"/>
        <v>20.003841520129225</v>
      </c>
      <c r="H23" s="81">
        <f t="shared" si="0"/>
        <v>22.861533165861974</v>
      </c>
      <c r="I23" s="81">
        <f t="shared" si="0"/>
        <v>25.719224811594717</v>
      </c>
      <c r="J23" s="81">
        <f t="shared" si="0"/>
        <v>28.576916457327464</v>
      </c>
      <c r="K23" s="81">
        <f t="shared" si="0"/>
        <v>31.434608103060214</v>
      </c>
      <c r="L23" s="439"/>
      <c r="M23" s="338"/>
      <c r="N23" s="338"/>
      <c r="O23" s="338"/>
      <c r="P23" s="338"/>
      <c r="Q23" s="338"/>
      <c r="R23" s="338"/>
      <c r="S23" s="338"/>
    </row>
    <row r="24" spans="1:19" ht="45">
      <c r="A24" s="269" t="str">
        <f>HLOOKUP($K$7,'RICON-S_Sprachen_DE-EN-FR'!$A$1:$C$22,15,FALSE)</f>
        <v>RICON® S 140/60 EK/GK Max
HT: 10xSK8x80
NT: 10xSK8x240</v>
      </c>
      <c r="B24" s="352" t="s">
        <v>586</v>
      </c>
      <c r="C24" s="550">
        <f>IF($B$6='RICON_RICON-S-EK_GIGANT_WALCO '!$V$20,'RICON_RICON-S-EK_GIGANT_WALCO '!B45*'RICON_RICON-S-EK_GIGANT_WALCO '!E45,IF('RICON-S'!$B$6='RICON_RICON-S-EK_GIGANT_WALCO '!$V$21,'RICON_RICON-S-EK_GIGANT_WALCO '!C275,IF('RICON-S'!$B$6='RICON_RICON-S-EK_GIGANT_WALCO '!$V$22,18,'RICON_RICON-S-EK_GIGANT_WALCO '!C943)))</f>
        <v>34</v>
      </c>
      <c r="D24" s="550">
        <f>IF($B$6='RICON_RICON-S-EK_GIGANT_WALCO '!$V$20,'RICON_RICON-S-EK_GIGANT_WALCO '!L45,IF('RICON-S'!$B$6='RICON_RICON-S-EK_GIGANT_WALCO '!$V$21,'RICON_RICON-S-EK_GIGANT_WALCO '!F275,IF('RICON-S'!$B$6='RICON_RICON-S-EK_GIGANT_WALCO '!$V$22,'RICON_RICON-S-EK_GIGANT_WALCO '!F275,'RICON_RICON-S-EK_GIGANT_WALCO '!E943)))</f>
        <v>40.18125965399701</v>
      </c>
      <c r="E24" s="546">
        <f t="shared" si="1"/>
        <v>34</v>
      </c>
      <c r="F24" s="81">
        <f t="shared" si="2"/>
        <v>18.545196763383235</v>
      </c>
      <c r="G24" s="81">
        <f t="shared" si="0"/>
        <v>21.636062890613772</v>
      </c>
      <c r="H24" s="81">
        <f t="shared" si="0"/>
        <v>24.726929017844313</v>
      </c>
      <c r="I24" s="81">
        <f t="shared" si="0"/>
        <v>27.817795145074854</v>
      </c>
      <c r="J24" s="81">
        <f t="shared" si="0"/>
        <v>30.908661272305391</v>
      </c>
      <c r="K24" s="81">
        <f t="shared" si="0"/>
        <v>33.999527399535936</v>
      </c>
      <c r="L24" s="439"/>
      <c r="M24" s="338"/>
      <c r="N24" s="338"/>
      <c r="O24" s="338"/>
      <c r="P24" s="338"/>
      <c r="Q24" s="338"/>
      <c r="R24" s="338"/>
      <c r="S24" s="338"/>
    </row>
    <row r="25" spans="1:19" ht="45">
      <c r="A25" s="269" t="str">
        <f>HLOOKUP($K$7,'RICON-S_Sprachen_DE-EN-FR'!$A$1:$C$22,16,FALSE)</f>
        <v>RICON® S 200/60 EK/GK Min
HT: 8xSK8x80
NT: 8xSK8x160</v>
      </c>
      <c r="B25" s="352" t="s">
        <v>457</v>
      </c>
      <c r="C25" s="550">
        <f>IF($B$6='RICON_RICON-S-EK_GIGANT_WALCO '!$V$20,'RICON_RICON-S-EK_GIGANT_WALCO '!B46*'RICON_RICON-S-EK_GIGANT_WALCO '!E46,IF('RICON-S'!$B$6='RICON_RICON-S-EK_GIGANT_WALCO '!$V$21,'RICON_RICON-S-EK_GIGANT_WALCO '!C276,IF('RICON-S'!$B$6='RICON_RICON-S-EK_GIGANT_WALCO '!$V$22,18,'RICON_RICON-S-EK_GIGANT_WALCO '!C944)))</f>
        <v>34</v>
      </c>
      <c r="D25" s="550">
        <f>IF($B$6='RICON_RICON-S-EK_GIGANT_WALCO '!$V$20,'RICON_RICON-S-EK_GIGANT_WALCO '!L46,IF('RICON-S'!$B$6='RICON_RICON-S-EK_GIGANT_WALCO '!$V$21,'RICON_RICON-S-EK_GIGANT_WALCO '!F276,IF('RICON-S'!$B$6='RICON_RICON-S-EK_GIGANT_WALCO '!$V$22,'RICON_RICON-S-EK_GIGANT_WALCO '!F276,'RICON_RICON-S-EK_GIGANT_WALCO '!E944)))</f>
        <v>30.390630186062658</v>
      </c>
      <c r="E25" s="546">
        <f t="shared" si="1"/>
        <v>34</v>
      </c>
      <c r="F25" s="81">
        <f t="shared" si="2"/>
        <v>14.026444701259686</v>
      </c>
      <c r="G25" s="81">
        <f t="shared" si="0"/>
        <v>16.36418548480297</v>
      </c>
      <c r="H25" s="81">
        <f t="shared" si="0"/>
        <v>18.701926268346252</v>
      </c>
      <c r="I25" s="81">
        <f t="shared" si="0"/>
        <v>21.039667051889534</v>
      </c>
      <c r="J25" s="81">
        <f t="shared" si="0"/>
        <v>23.377407835432813</v>
      </c>
      <c r="K25" s="81">
        <f t="shared" si="0"/>
        <v>25.715148618976098</v>
      </c>
      <c r="L25" s="439"/>
      <c r="M25" s="338"/>
      <c r="N25" s="338"/>
      <c r="O25" s="338"/>
      <c r="P25" s="338"/>
      <c r="Q25" s="338"/>
      <c r="R25" s="338"/>
      <c r="S25" s="338"/>
    </row>
    <row r="26" spans="1:19" ht="45">
      <c r="A26" s="269" t="str">
        <f>HLOOKUP($K$7,'RICON-S_Sprachen_DE-EN-FR'!$A$1:$C$22,17,FALSE)</f>
        <v>RICON® S 200/60 EK/GK ST
HT: 16xSK8x80
NT: 16xSK8x160</v>
      </c>
      <c r="B26" s="352" t="s">
        <v>457</v>
      </c>
      <c r="C26" s="550">
        <f>IF($B$6='RICON_RICON-S-EK_GIGANT_WALCO '!$V$20,'RICON_RICON-S-EK_GIGANT_WALCO '!B47*'RICON_RICON-S-EK_GIGANT_WALCO '!E47,IF('RICON-S'!$B$6='RICON_RICON-S-EK_GIGANT_WALCO '!$V$21,'RICON_RICON-S-EK_GIGANT_WALCO '!C277,IF('RICON-S'!$B$6='RICON_RICON-S-EK_GIGANT_WALCO '!$V$22,18,'RICON_RICON-S-EK_GIGANT_WALCO '!C945)))</f>
        <v>34</v>
      </c>
      <c r="D26" s="550">
        <f>IF($B$6='RICON_RICON-S-EK_GIGANT_WALCO '!$V$20,'RICON_RICON-S-EK_GIGANT_WALCO '!L47,IF('RICON-S'!$B$6='RICON_RICON-S-EK_GIGANT_WALCO '!$V$21,'RICON_RICON-S-EK_GIGANT_WALCO '!F277,IF('RICON-S'!$B$6='RICON_RICON-S-EK_GIGANT_WALCO '!$V$22,'RICON_RICON-S-EK_GIGANT_WALCO '!F277,'RICON_RICON-S-EK_GIGANT_WALCO '!E945)))</f>
        <v>56.710921194381697</v>
      </c>
      <c r="E26" s="546">
        <f t="shared" si="1"/>
        <v>34</v>
      </c>
      <c r="F26" s="81">
        <f t="shared" si="2"/>
        <v>26.174271320483861</v>
      </c>
      <c r="G26" s="81">
        <f t="shared" si="0"/>
        <v>30.536649873897833</v>
      </c>
      <c r="H26" s="81">
        <f t="shared" si="0"/>
        <v>34</v>
      </c>
      <c r="I26" s="81">
        <f t="shared" si="0"/>
        <v>34</v>
      </c>
      <c r="J26" s="81">
        <f t="shared" si="0"/>
        <v>34</v>
      </c>
      <c r="K26" s="81">
        <f t="shared" si="0"/>
        <v>34</v>
      </c>
      <c r="L26" s="439"/>
      <c r="M26" s="338"/>
      <c r="N26" s="338"/>
      <c r="O26" s="338"/>
      <c r="P26" s="338"/>
      <c r="Q26" s="338"/>
      <c r="R26" s="338"/>
      <c r="S26" s="338"/>
    </row>
    <row r="27" spans="1:19" ht="45.75" thickBot="1">
      <c r="A27" s="421" t="str">
        <f>HLOOKUP($K$7,'RICON-S_Sprachen_DE-EN-FR'!$A$1:$C$22,18,FALSE)</f>
        <v>RICON S 200/60 EK/GK Max
HT: 16xSK8x80
NT: 16xSK8x240</v>
      </c>
      <c r="B27" s="422" t="s">
        <v>587</v>
      </c>
      <c r="C27" s="551">
        <f>IF($B$6='RICON_RICON-S-EK_GIGANT_WALCO '!$V$20,'RICON_RICON-S-EK_GIGANT_WALCO '!B48*'RICON_RICON-S-EK_GIGANT_WALCO '!E48,IF('RICON-S'!$B$6='RICON_RICON-S-EK_GIGANT_WALCO '!$V$21,'RICON_RICON-S-EK_GIGANT_WALCO '!C278,IF('RICON-S'!$B$6='RICON_RICON-S-EK_GIGANT_WALCO '!$V$22,18,'RICON_RICON-S-EK_GIGANT_WALCO '!C946)))</f>
        <v>34</v>
      </c>
      <c r="D27" s="551">
        <f>IF($B$6='RICON_RICON-S-EK_GIGANT_WALCO '!$V$20,'RICON_RICON-S-EK_GIGANT_WALCO '!L48,IF('RICON-S'!$B$6='RICON_RICON-S-EK_GIGANT_WALCO '!$V$21,'RICON_RICON-S-EK_GIGANT_WALCO '!F278,IF('RICON-S'!$B$6='RICON_RICON-S-EK_GIGANT_WALCO '!$V$22,'RICON_RICON-S-EK_GIGANT_WALCO '!F278,'RICON_RICON-S-EK_GIGANT_WALCO '!E946)))</f>
        <v>66.480609906200655</v>
      </c>
      <c r="E27" s="549">
        <f t="shared" si="1"/>
        <v>34</v>
      </c>
      <c r="F27" s="235">
        <f t="shared" si="2"/>
        <v>30.683358418246456</v>
      </c>
      <c r="G27" s="235">
        <f t="shared" si="0"/>
        <v>34</v>
      </c>
      <c r="H27" s="235">
        <f t="shared" si="0"/>
        <v>34</v>
      </c>
      <c r="I27" s="235">
        <f t="shared" si="0"/>
        <v>34</v>
      </c>
      <c r="J27" s="235">
        <f t="shared" si="0"/>
        <v>34</v>
      </c>
      <c r="K27" s="235">
        <f t="shared" si="0"/>
        <v>34</v>
      </c>
      <c r="L27" s="439"/>
      <c r="M27" s="338"/>
      <c r="N27" s="338"/>
      <c r="O27" s="338"/>
      <c r="P27" s="338"/>
      <c r="Q27" s="338"/>
      <c r="R27" s="338"/>
      <c r="S27" s="338"/>
    </row>
    <row r="28" spans="1:19" ht="45.75" thickTop="1">
      <c r="A28" s="269" t="str">
        <f>HLOOKUP($K$7,'RICON-S_Sprachen_DE-EN-FR'!$A$1:$C$22,19,FALSE)</f>
        <v>RICON® S 200/80 EK/GK Min
HT: 8xSK10x100
NT: 8xSK10x200</v>
      </c>
      <c r="B28" s="354" t="s">
        <v>466</v>
      </c>
      <c r="C28" s="552">
        <f>IF($B$6='RICON_RICON-S-EK_GIGANT_WALCO '!$V$20,'RICON_RICON-S-EK_GIGANT_WALCO '!B49*'RICON_RICON-S-EK_GIGANT_WALCO '!E49,IF('RICON-S'!$B$6='RICON_RICON-S-EK_GIGANT_WALCO '!$V$21,'RICON_RICON-S-EK_GIGANT_WALCO '!C279,IF('RICON-S'!$B$6='RICON_RICON-S-EK_GIGANT_WALCO '!$V$22,18,'RICON_RICON-S-EK_GIGANT_WALCO '!C947)))</f>
        <v>50</v>
      </c>
      <c r="D28" s="552">
        <f>IF($B$6='RICON_RICON-S-EK_GIGANT_WALCO '!$V$20,'RICON_RICON-S-EK_GIGANT_WALCO '!L49,IF('RICON-S'!$B$6='RICON_RICON-S-EK_GIGANT_WALCO '!$V$21,'RICON_RICON-S-EK_GIGANT_WALCO '!F279,IF('RICON-S'!$B$6='RICON_RICON-S-EK_GIGANT_WALCO '!$V$22,'RICON_RICON-S-EK_GIGANT_WALCO '!F279,'RICON_RICON-S-EK_GIGANT_WALCO '!E947)))</f>
        <v>42.402011672418155</v>
      </c>
      <c r="E28" s="548">
        <f t="shared" si="1"/>
        <v>50</v>
      </c>
      <c r="F28" s="236">
        <f t="shared" si="2"/>
        <v>19.570159233423762</v>
      </c>
      <c r="G28" s="236">
        <f t="shared" si="0"/>
        <v>22.831852438994389</v>
      </c>
      <c r="H28" s="236">
        <f t="shared" si="0"/>
        <v>26.093545644565019</v>
      </c>
      <c r="I28" s="236">
        <f t="shared" si="0"/>
        <v>29.355238850135645</v>
      </c>
      <c r="J28" s="236">
        <f t="shared" si="0"/>
        <v>32.616932055706272</v>
      </c>
      <c r="K28" s="236">
        <f t="shared" si="0"/>
        <v>35.878625261276902</v>
      </c>
      <c r="L28" s="439"/>
      <c r="M28" s="338"/>
      <c r="N28" s="338"/>
      <c r="O28" s="338"/>
      <c r="P28" s="338"/>
      <c r="Q28" s="338"/>
      <c r="R28" s="338"/>
      <c r="S28" s="338"/>
    </row>
    <row r="29" spans="1:19" ht="45">
      <c r="A29" s="269" t="str">
        <f>HLOOKUP($K$7,'RICON-S_Sprachen_DE-EN-FR'!$A$1:$C$22,20,FALSE)</f>
        <v>RICON® S 200/80 EK/GK ST
HT: 16xSK10x100
NT: 16xSK10x200</v>
      </c>
      <c r="B29" s="352" t="s">
        <v>466</v>
      </c>
      <c r="C29" s="550">
        <f>IF($B$6='RICON_RICON-S-EK_GIGANT_WALCO '!$V$20,'RICON_RICON-S-EK_GIGANT_WALCO '!B50*'RICON_RICON-S-EK_GIGANT_WALCO '!E50,IF('RICON-S'!$B$6='RICON_RICON-S-EK_GIGANT_WALCO '!$V$21,'RICON_RICON-S-EK_GIGANT_WALCO '!C280,IF('RICON-S'!$B$6='RICON_RICON-S-EK_GIGANT_WALCO '!$V$22,18,'RICON_RICON-S-EK_GIGANT_WALCO '!C948)))</f>
        <v>50</v>
      </c>
      <c r="D29" s="550">
        <f>IF($B$6='RICON_RICON-S-EK_GIGANT_WALCO '!$V$20,'RICON_RICON-S-EK_GIGANT_WALCO '!L50,IF('RICON-S'!$B$6='RICON_RICON-S-EK_GIGANT_WALCO '!$V$21,'RICON_RICON-S-EK_GIGANT_WALCO '!F280,IF('RICON-S'!$B$6='RICON_RICON-S-EK_GIGANT_WALCO '!$V$22,'RICON_RICON-S-EK_GIGANT_WALCO '!F280,'RICON_RICON-S-EK_GIGANT_WALCO '!E948)))</f>
        <v>79.124951595789881</v>
      </c>
      <c r="E29" s="546">
        <f t="shared" si="1"/>
        <v>50</v>
      </c>
      <c r="F29" s="81">
        <f t="shared" si="2"/>
        <v>36.519208428826097</v>
      </c>
      <c r="G29" s="81">
        <f t="shared" si="0"/>
        <v>42.605743166963784</v>
      </c>
      <c r="H29" s="81">
        <f t="shared" si="0"/>
        <v>48.692277905101463</v>
      </c>
      <c r="I29" s="81">
        <f t="shared" si="0"/>
        <v>50</v>
      </c>
      <c r="J29" s="81">
        <f t="shared" si="0"/>
        <v>50</v>
      </c>
      <c r="K29" s="81">
        <f t="shared" si="0"/>
        <v>50</v>
      </c>
      <c r="L29" s="439"/>
      <c r="M29" s="338"/>
      <c r="N29" s="338"/>
      <c r="O29" s="338"/>
      <c r="P29" s="338"/>
      <c r="Q29" s="338"/>
      <c r="R29" s="338"/>
      <c r="S29" s="338"/>
    </row>
    <row r="30" spans="1:19" ht="45">
      <c r="A30" s="269" t="str">
        <f>HLOOKUP($K$7,'RICON-S_Sprachen_DE-EN-FR'!$A$1:$C$22,21,FALSE)</f>
        <v>RICON® S 290/80 EK/GK Min
HT: 8xSK10x100
NT: 8xSK10x200</v>
      </c>
      <c r="B30" s="352" t="s">
        <v>467</v>
      </c>
      <c r="C30" s="550">
        <f>IF($B$6='RICON_RICON-S-EK_GIGANT_WALCO '!$V$20,'RICON_RICON-S-EK_GIGANT_WALCO '!B51*'RICON_RICON-S-EK_GIGANT_WALCO '!E51,IF('RICON-S'!$B$6='RICON_RICON-S-EK_GIGANT_WALCO '!$V$21,'RICON_RICON-S-EK_GIGANT_WALCO '!C281,IF('RICON-S'!$B$6='RICON_RICON-S-EK_GIGANT_WALCO '!$V$22,18,'RICON_RICON-S-EK_GIGANT_WALCO '!C949)))</f>
        <v>50</v>
      </c>
      <c r="D30" s="550">
        <f>IF($B$6='RICON_RICON-S-EK_GIGANT_WALCO '!$V$20,'RICON_RICON-S-EK_GIGANT_WALCO '!L51,IF('RICON-S'!$B$6='RICON_RICON-S-EK_GIGANT_WALCO '!$V$21,'RICON_RICON-S-EK_GIGANT_WALCO '!F281,IF('RICON-S'!$B$6='RICON_RICON-S-EK_GIGANT_WALCO '!$V$22,'RICON_RICON-S-EK_GIGANT_WALCO '!F281,'RICON_RICON-S-EK_GIGANT_WALCO '!E949)))</f>
        <v>42.402011672418155</v>
      </c>
      <c r="E30" s="546">
        <f t="shared" si="1"/>
        <v>50</v>
      </c>
      <c r="F30" s="81">
        <f t="shared" si="2"/>
        <v>19.570159233423762</v>
      </c>
      <c r="G30" s="81">
        <f t="shared" si="0"/>
        <v>22.831852438994389</v>
      </c>
      <c r="H30" s="81">
        <f t="shared" si="0"/>
        <v>26.093545644565019</v>
      </c>
      <c r="I30" s="81">
        <f t="shared" si="0"/>
        <v>29.355238850135645</v>
      </c>
      <c r="J30" s="81">
        <f t="shared" si="0"/>
        <v>32.616932055706272</v>
      </c>
      <c r="K30" s="81">
        <f t="shared" si="0"/>
        <v>35.878625261276902</v>
      </c>
      <c r="L30" s="439"/>
      <c r="M30" s="338"/>
      <c r="N30" s="338"/>
      <c r="O30" s="338"/>
      <c r="P30" s="338"/>
      <c r="Q30" s="338"/>
      <c r="R30" s="338"/>
      <c r="S30" s="338"/>
    </row>
    <row r="31" spans="1:19" ht="45">
      <c r="A31" s="269" t="str">
        <f>HLOOKUP($K$7,'RICON-S_Sprachen_DE-EN-FR'!$A$1:$C$22,22,FALSE)</f>
        <v>RICON® S 290/80 EK/GK ST
HT: 20xSK10x100
NT: 20xSK10x200</v>
      </c>
      <c r="B31" s="352" t="s">
        <v>467</v>
      </c>
      <c r="C31" s="550">
        <f>IF($B$6='RICON_RICON-S-EK_GIGANT_WALCO '!$V$20,'RICON_RICON-S-EK_GIGANT_WALCO '!B52*'RICON_RICON-S-EK_GIGANT_WALCO '!E52,IF('RICON-S'!$B$6='RICON_RICON-S-EK_GIGANT_WALCO '!$V$21,'RICON_RICON-S-EK_GIGANT_WALCO '!C282,IF('RICON-S'!$B$6='RICON_RICON-S-EK_GIGANT_WALCO '!$V$22,18,'RICON_RICON-S-EK_GIGANT_WALCO '!C950)))</f>
        <v>50</v>
      </c>
      <c r="D31" s="550">
        <f>IF($B$6='RICON_RICON-S-EK_GIGANT_WALCO '!$V$20,'RICON_RICON-S-EK_GIGANT_WALCO '!L52,IF('RICON-S'!$B$6='RICON_RICON-S-EK_GIGANT_WALCO '!$V$21,'RICON_RICON-S-EK_GIGANT_WALCO '!F282,IF('RICON-S'!$B$6='RICON_RICON-S-EK_GIGANT_WALCO '!$V$22,'RICON_RICON-S-EK_GIGANT_WALCO '!F282,'RICON_RICON-S-EK_GIGANT_WALCO '!E950)))</f>
        <v>96.723603718619998</v>
      </c>
      <c r="E31" s="546">
        <f t="shared" si="1"/>
        <v>50</v>
      </c>
      <c r="F31" s="81">
        <f t="shared" si="2"/>
        <v>44.641663254747691</v>
      </c>
      <c r="G31" s="81">
        <f t="shared" si="0"/>
        <v>50</v>
      </c>
      <c r="H31" s="81">
        <f t="shared" si="0"/>
        <v>50</v>
      </c>
      <c r="I31" s="81">
        <f t="shared" si="0"/>
        <v>50</v>
      </c>
      <c r="J31" s="81">
        <f t="shared" si="0"/>
        <v>50</v>
      </c>
      <c r="K31" s="81">
        <f t="shared" si="0"/>
        <v>50</v>
      </c>
      <c r="L31" s="439"/>
      <c r="M31" s="338"/>
      <c r="N31" s="338"/>
      <c r="O31" s="338"/>
      <c r="P31" s="338"/>
      <c r="Q31" s="338"/>
      <c r="R31" s="338"/>
      <c r="S31" s="338"/>
    </row>
    <row r="32" spans="1:19">
      <c r="A32" s="333"/>
      <c r="B32" s="355"/>
      <c r="C32" s="338"/>
      <c r="D32" s="338"/>
      <c r="E32" s="338"/>
      <c r="F32" s="338"/>
      <c r="G32" s="338"/>
      <c r="H32" s="338"/>
      <c r="I32" s="338"/>
      <c r="K32" s="333"/>
      <c r="L32" s="338"/>
      <c r="M32" s="338"/>
      <c r="N32" s="338"/>
      <c r="O32" s="338"/>
      <c r="P32" s="338"/>
      <c r="Q32" s="338"/>
      <c r="R32" s="338"/>
    </row>
    <row r="33" spans="1:20">
      <c r="A33" s="333" t="str">
        <f>HLOOKUP(K7,'RICON-S_Sprachen_DE-EN-FR'!A1:C23,23,FALSE)</f>
        <v>Berechnung von F2,Rd:</v>
      </c>
      <c r="B33" s="355"/>
      <c r="C33" s="338"/>
      <c r="D33" s="338"/>
      <c r="E33" s="338"/>
      <c r="F33" s="338"/>
      <c r="G33" s="338"/>
      <c r="H33" s="338"/>
      <c r="I33" s="338"/>
      <c r="K33" s="333"/>
      <c r="L33" s="338"/>
      <c r="M33" s="338"/>
      <c r="N33" s="338"/>
      <c r="O33" s="338"/>
      <c r="P33" s="338"/>
      <c r="Q33" s="338"/>
      <c r="R33" s="338"/>
    </row>
    <row r="34" spans="1:20">
      <c r="A34" s="333"/>
      <c r="B34" s="355"/>
      <c r="C34" s="338"/>
      <c r="D34" s="338"/>
      <c r="E34" s="338"/>
      <c r="F34" s="338"/>
      <c r="G34" s="338"/>
      <c r="H34" s="338"/>
      <c r="I34" s="338"/>
      <c r="K34" s="333"/>
      <c r="L34" s="338"/>
      <c r="M34" s="338"/>
      <c r="N34" s="338"/>
      <c r="O34" s="338"/>
      <c r="P34" s="338"/>
      <c r="Q34" s="338"/>
      <c r="R34" s="338"/>
    </row>
    <row r="35" spans="1:20">
      <c r="A35" s="333"/>
      <c r="B35" s="355"/>
      <c r="C35" s="338"/>
      <c r="D35" s="338"/>
      <c r="E35" s="338"/>
      <c r="F35" s="338"/>
      <c r="G35" s="338"/>
      <c r="H35" s="338"/>
      <c r="I35" s="338"/>
      <c r="K35" s="333"/>
      <c r="L35" s="338"/>
      <c r="M35" s="338"/>
      <c r="N35" s="338"/>
      <c r="O35" s="338"/>
      <c r="P35" s="338"/>
      <c r="Q35" s="338"/>
      <c r="R35" s="338"/>
    </row>
    <row r="36" spans="1:20" ht="15.75" thickBot="1">
      <c r="A36" s="476"/>
      <c r="B36" s="477"/>
      <c r="C36" s="478"/>
      <c r="D36" s="478"/>
      <c r="E36" s="478"/>
      <c r="F36" s="478"/>
      <c r="G36" s="478"/>
      <c r="H36" s="478"/>
      <c r="I36" s="478"/>
      <c r="J36" s="423"/>
      <c r="K36" s="476"/>
      <c r="L36" s="338"/>
      <c r="M36" s="338"/>
      <c r="N36" s="338"/>
      <c r="O36" s="338"/>
      <c r="P36" s="338"/>
      <c r="Q36" s="338"/>
      <c r="R36" s="338"/>
    </row>
    <row r="37" spans="1:20" ht="24" customHeight="1">
      <c r="A37" s="758" t="str">
        <f>HLOOKUP(K7,'RICON-S_Sprachen_DE-EN-FR'!A1:C25,25,FALSE)</f>
        <v>Belastungstabelle von KNAPP® RICON® S nach ETA-10/0189 (Ausgabe 25/08/2022)</v>
      </c>
      <c r="B37" s="758"/>
      <c r="C37" s="758"/>
      <c r="D37" s="758"/>
      <c r="E37" s="758"/>
      <c r="F37" s="758"/>
      <c r="G37" s="758"/>
      <c r="H37" s="758"/>
      <c r="I37" s="758"/>
      <c r="J37" s="758"/>
      <c r="K37" s="758"/>
      <c r="L37" s="338"/>
      <c r="M37" s="338"/>
      <c r="N37" s="338"/>
      <c r="O37" s="338"/>
      <c r="P37" s="338"/>
      <c r="Q37" s="338"/>
      <c r="R37" s="338"/>
    </row>
    <row r="38" spans="1:20" ht="24" customHeight="1" thickBot="1">
      <c r="A38" s="759"/>
      <c r="B38" s="759"/>
      <c r="C38" s="759"/>
      <c r="D38" s="759"/>
      <c r="E38" s="759"/>
      <c r="F38" s="759"/>
      <c r="G38" s="759"/>
      <c r="H38" s="759"/>
      <c r="I38" s="759"/>
      <c r="J38" s="759"/>
      <c r="K38" s="759"/>
      <c r="L38" s="338"/>
      <c r="M38" s="338"/>
      <c r="N38" s="338"/>
      <c r="O38" s="338"/>
      <c r="P38" s="338"/>
      <c r="Q38" s="338"/>
      <c r="R38" s="338"/>
    </row>
    <row r="39" spans="1:20" ht="33.75">
      <c r="A39" s="370" t="str">
        <f>HLOOKUP($K$7,'RICON-S_Sprachen_DE-EN-FR'!$A$1:$C$26,26,FALSE)</f>
        <v>RICON® S VK: (RICON® S mit verschraubten Kragenbolzen)</v>
      </c>
      <c r="B39" s="371"/>
      <c r="C39" s="371"/>
      <c r="D39" s="371"/>
      <c r="E39" s="371"/>
      <c r="F39" s="371"/>
      <c r="G39" s="371"/>
      <c r="H39" s="371"/>
      <c r="I39" s="371"/>
      <c r="J39" s="369"/>
      <c r="K39" s="369"/>
      <c r="L39" s="427"/>
      <c r="M39" s="427"/>
      <c r="N39" s="427"/>
      <c r="O39" s="427"/>
      <c r="P39" s="427"/>
      <c r="Q39" s="427"/>
      <c r="R39" s="427"/>
      <c r="S39" s="427"/>
      <c r="T39" s="427"/>
    </row>
    <row r="40" spans="1:20" ht="21">
      <c r="A40" s="337" t="str">
        <f>HLOOKUP($K$7,'RICON-S_Sprachen_DE-EN-FR'!$A$1:$C$27,27,FALSE)</f>
        <v>Belastungswerte:</v>
      </c>
      <c r="B40" s="649" t="s">
        <v>1210</v>
      </c>
      <c r="C40" s="362"/>
      <c r="D40" s="362" t="str">
        <f>HLOOKUP($K$7,'RICON-S_Sprachen_DE-EN-FR'!$A$1:$C$28,28,FALSE)</f>
        <v>Festigkeitsklasse:</v>
      </c>
      <c r="E40" s="400" t="s">
        <v>25</v>
      </c>
      <c r="G40" s="391" t="str">
        <f>VLOOKUP(E40,'RICON_RICON-S-EK_GIGANT_WALCO '!V7:Z18,5,FALSE)</f>
        <v>Brettschichtholz homogen</v>
      </c>
      <c r="H40" s="391"/>
      <c r="K40" s="362"/>
      <c r="L40" s="362"/>
      <c r="M40" s="362"/>
      <c r="N40" s="362"/>
      <c r="O40" s="362"/>
      <c r="P40" s="362"/>
      <c r="Q40" s="362"/>
      <c r="R40" s="362"/>
    </row>
    <row r="41" spans="1:20" ht="21">
      <c r="A41" s="772" t="str">
        <f>IF(B40='RICON_RICON-S-EK_GIGANT_WALCO '!$V$20,HLOOKUP($K$7,'RICON_RICON-S-EK_GIGANT_WALCO '!$V$19:$Y$23,2,FALSE),IF(B40='RICON_RICON-S-EK_GIGANT_WALCO '!$V$21,HLOOKUP($K$7,'RICON_RICON-S-EK_GIGANT_WALCO '!$V$19:$Y$23,3,FALSE),IF(B40='RICON_RICON-S-EK_GIGANT_WALCO '!$V$22,HLOOKUP($K$7,'RICON_RICON-S-EK_GIGANT_WALCO '!$V$19:$Y$23,4,FALSE),HLOOKUP($K$7,'RICON_RICON-S-EK_GIGANT_WALCO '!$V$19:$Y$23,5,FALSE))))</f>
        <v>In Einschubrichtung</v>
      </c>
      <c r="B41" s="772"/>
      <c r="C41" s="772"/>
      <c r="D41" s="362" t="str">
        <f>HLOOKUP($K$7,'RICON-S_Sprachen_DE-EN-FR'!$A$1:$C$29,29,FALSE)</f>
        <v>Nutzungsklasse NKL:</v>
      </c>
      <c r="E41" s="400">
        <v>1</v>
      </c>
      <c r="G41" s="391" t="str">
        <f>VLOOKUP(E41,'RICON_RICON-S-EK_GIGANT_WALCO '!V27:Y29,4,FALSE)</f>
        <v>Innenbereich</v>
      </c>
      <c r="H41" s="392"/>
      <c r="K41" s="339"/>
    </row>
    <row r="42" spans="1:20" ht="21">
      <c r="A42" s="344"/>
      <c r="B42" s="344"/>
      <c r="C42" s="344"/>
      <c r="D42" s="344"/>
      <c r="E42" s="344"/>
      <c r="F42" s="344"/>
      <c r="G42" s="344"/>
      <c r="H42" s="344"/>
      <c r="I42" s="344"/>
      <c r="K42" s="344"/>
      <c r="L42" s="344"/>
      <c r="M42" s="344"/>
      <c r="N42" s="344"/>
      <c r="O42" s="344"/>
      <c r="P42" s="344"/>
      <c r="Q42" s="344"/>
      <c r="R42" s="344"/>
    </row>
    <row r="44" spans="1:20" ht="18.75">
      <c r="A44" s="339"/>
      <c r="B44" s="339"/>
      <c r="K44" s="339"/>
    </row>
    <row r="45" spans="1:20" ht="18.75">
      <c r="A45" s="339"/>
      <c r="B45" s="339"/>
      <c r="K45" s="339"/>
    </row>
    <row r="46" spans="1:20" ht="18.75">
      <c r="A46" s="339"/>
      <c r="B46" s="339"/>
      <c r="K46" s="339"/>
    </row>
    <row r="47" spans="1:20" ht="18.75">
      <c r="A47" s="339"/>
      <c r="B47" s="339"/>
      <c r="K47" s="339"/>
    </row>
    <row r="48" spans="1:20" ht="18.75">
      <c r="A48" s="339"/>
      <c r="B48" s="339"/>
      <c r="K48" s="339"/>
    </row>
    <row r="49" spans="1:19" ht="18.75">
      <c r="A49" s="339"/>
      <c r="B49" s="339"/>
      <c r="K49" s="339"/>
    </row>
    <row r="50" spans="1:19" ht="18.75">
      <c r="A50" s="339"/>
      <c r="B50" s="339"/>
      <c r="K50" s="339"/>
    </row>
    <row r="51" spans="1:19" ht="18.75">
      <c r="A51" s="339"/>
      <c r="B51" s="339"/>
      <c r="K51" s="339"/>
    </row>
    <row r="52" spans="1:19" ht="18.75">
      <c r="A52" s="339"/>
      <c r="B52" s="339"/>
      <c r="J52" t="str">
        <f>HLOOKUP($K$7,'RICON-S_Sprachen_DE-EN-FR'!$A$1:I116,80,FALSE)</f>
        <v>1. Hauptträger</v>
      </c>
      <c r="K52" s="339"/>
    </row>
    <row r="53" spans="1:19" ht="21">
      <c r="A53" s="335"/>
      <c r="B53" s="335"/>
      <c r="J53" t="str">
        <f>HLOOKUP($K$7,'RICON-S_Sprachen_DE-EN-FR'!$A$1:I117,81,FALSE)</f>
        <v>2. Nebenträger</v>
      </c>
      <c r="K53" s="335"/>
    </row>
    <row r="54" spans="1:19" ht="21">
      <c r="A54" s="814" t="str">
        <f>HLOOKUP($K$7,'RICON-S_Sprachen_DE-EN-FR'!$A$1:$C$30,30,FALSE)</f>
        <v>Bild 1: RICON® S60 VK Einzelanschluss</v>
      </c>
      <c r="B54" s="814"/>
      <c r="C54" s="814"/>
      <c r="D54" s="815" t="str">
        <f>HLOOKUP($K$7,'RICON-S_Sprachen_DE-EN-FR'!$A$1:$C$31,31,FALSE)</f>
        <v>Bild 2: RICON® S80 VK Einzelanschluss</v>
      </c>
      <c r="E54" s="815"/>
      <c r="F54" s="815"/>
      <c r="G54" s="815"/>
      <c r="H54" s="815"/>
      <c r="K54" s="335"/>
    </row>
    <row r="55" spans="1:19" ht="21">
      <c r="A55" s="335"/>
      <c r="B55" s="335"/>
      <c r="K55" s="335"/>
    </row>
    <row r="56" spans="1:19" ht="18" customHeight="1">
      <c r="A56" s="528" t="str">
        <f>HLOOKUP($K$7,'RICON-S_Sprachen_DE-EN-FR'!$A$1:$C$32,32,FALSE)</f>
        <v>KNAPP®Verbinder</v>
      </c>
      <c r="B56" s="769" t="str">
        <f>HLOOKUP($K$7,'RICON-S_Sprachen_DE-EN-FR'!$A$1:$C$33,33,FALSE)</f>
        <v>Min. Nebenträgerabmessungen [mm]</v>
      </c>
      <c r="C56" s="768" t="str">
        <f>HLOOKUP($K$7,'RICON-S_Sprachen_DE-EN-FR'!$A$1:$C$34,34,FALSE)</f>
        <v>Charakteristische Werte [kN]</v>
      </c>
      <c r="D56" s="768"/>
      <c r="E56" s="545" t="str">
        <f>IF(B40='RICON_RICON-S-EK_GIGANT_WALCO '!$V$20,"F1,KCC,Rd",IF(B40='RICON_RICON-S-EK_GIGANT_WALCO '!$V$21,"F2,KCC,Rd",IF(B40='RICON_RICON-S-EK_GIGANT_WALCO '!$V$22,"F3,KCC,Rd","F45,KCC,Rd")))</f>
        <v>F2,KCC,Rd</v>
      </c>
      <c r="F56" s="766" t="str">
        <f>HLOOKUP($K$7,'RICON-S_Sprachen_DE-EN-FR'!$A$1:$C$35,35,FALSE)</f>
        <v xml:space="preserve">Bemessungswerte </v>
      </c>
      <c r="G56" s="767"/>
      <c r="H56" s="767"/>
      <c r="I56" s="542" t="str">
        <f>IF(B40='RICON_RICON-S-EK_GIGANT_WALCO '!$V$20,"F1,Rd [kN]",IF(B40='RICON_RICON-S-EK_GIGANT_WALCO '!$V$21,"F2,Rd [kN]",IF(B40='RICON_RICON-S-EK_GIGANT_WALCO '!$V$22,"F3,Rd [kN]","F45,Rd [kN]")))</f>
        <v>F2,Rd [kN]</v>
      </c>
      <c r="J56" s="542" t="str">
        <f>E40</f>
        <v>GL24h</v>
      </c>
      <c r="K56" s="531" t="s">
        <v>1203</v>
      </c>
      <c r="L56" s="440"/>
      <c r="M56" s="375"/>
    </row>
    <row r="57" spans="1:19" ht="24.75" customHeight="1">
      <c r="A57" s="538"/>
      <c r="B57" s="770"/>
      <c r="C57" s="529" t="str">
        <f>IF(B40='RICON_RICON-S-EK_GIGANT_WALCO '!$V$20,"F1,KCC,RK",IF(B40='RICON_RICON-S-EK_GIGANT_WALCO '!$V$21,"F2,KCC,RK",IF(B40='RICON_RICON-S-EK_GIGANT_WALCO '!$V$22,"F3,KCC,RK","F45,KCC,Rk")))</f>
        <v>F2,KCC,RK</v>
      </c>
      <c r="D57" s="544" t="str">
        <f>IF(B40='RICON_RICON-S-EK_GIGANT_WALCO '!$V$20,"F1,RK",IF(B40='RICON_RICON-S-EK_GIGANT_WALCO '!$V$21,"F2,RK",IF(B40='RICON_RICON-S-EK_GIGANT_WALCO '!$V$22,"F3,RK","F45,Rk")))</f>
        <v>F2,RK</v>
      </c>
      <c r="E57" s="547">
        <f>IF(B40='RICON_RICON-S-EK_GIGANT_WALCO '!$V$22,1.25,1)</f>
        <v>1</v>
      </c>
      <c r="F57" s="535">
        <v>0.6</v>
      </c>
      <c r="G57" s="535">
        <v>0.7</v>
      </c>
      <c r="H57" s="535">
        <v>0.8</v>
      </c>
      <c r="I57" s="535">
        <v>0.9</v>
      </c>
      <c r="J57" s="535">
        <v>1</v>
      </c>
      <c r="K57" s="535">
        <v>1.1000000000000001</v>
      </c>
      <c r="L57" s="438"/>
      <c r="M57" s="428"/>
      <c r="N57" s="428"/>
      <c r="O57" s="428"/>
      <c r="P57" s="428"/>
      <c r="Q57" s="428"/>
      <c r="R57" s="428"/>
      <c r="S57" s="428"/>
    </row>
    <row r="58" spans="1:19" ht="45">
      <c r="A58" s="269" t="str">
        <f>HLOOKUP($K$7,'RICON-S_Sprachen_DE-EN-FR'!$A$1:$C$43,36,FALSE)</f>
        <v>RICON® S 140/60 VK ST
HT: 8xSK8x80
NT: 8xSK8x160</v>
      </c>
      <c r="B58" s="354" t="s">
        <v>456</v>
      </c>
      <c r="C58" s="550">
        <f>IF($B$40='RICON_RICON-S-EK_GIGANT_WALCO '!$V$20,'RICON_RICON-S-EK_GIGANT_WALCO '!B60*'RICON_RICON-S-EK_GIGANT_WALCO '!E60,IF('RICON-S'!$B$40='RICON_RICON-S-EK_GIGANT_WALCO '!$V$21,'RICON_RICON-S-EK_GIGANT_WALCO '!C346,IF('RICON-S'!$B$40='RICON_RICON-S-EK_GIGANT_WALCO '!$V$22,18,'RICON_RICON-S-EK_GIGANT_WALCO '!C933)))</f>
        <v>34</v>
      </c>
      <c r="D58" s="550">
        <f>IF($B$40='RICON_RICON-S-EK_GIGANT_WALCO '!$V$20,'RICON_RICON-S-EK_GIGANT_WALCO '!L60,IF('RICON-S'!$B$40='RICON_RICON-S-EK_GIGANT_WALCO '!$V$21,'RICON_RICON-S-EK_GIGANT_WALCO '!F346,IF('RICON-S'!$B$40='RICON_RICON-S-EK_GIGANT_WALCO '!$V$22,'RICON_RICON-S-EK_GIGANT_WALCO '!F346,'RICON_RICON-S-EK_GIGANT_WALCO '!E933)))</f>
        <v>31.491496682526368</v>
      </c>
      <c r="E58" s="546">
        <f>C58/$E$57</f>
        <v>34</v>
      </c>
      <c r="F58" s="81">
        <f>MIN($E58,$D58*F$21/1.3)</f>
        <v>14.534536930396785</v>
      </c>
      <c r="G58" s="81">
        <f t="shared" ref="G58:K65" si="3">MIN($E58,$D58*G$21/1.3)</f>
        <v>16.956959752129581</v>
      </c>
      <c r="H58" s="81">
        <f t="shared" si="3"/>
        <v>19.37938257386238</v>
      </c>
      <c r="I58" s="81">
        <f t="shared" si="3"/>
        <v>21.801805395595178</v>
      </c>
      <c r="J58" s="81">
        <f t="shared" si="3"/>
        <v>24.224228217327973</v>
      </c>
      <c r="K58" s="81">
        <f t="shared" si="3"/>
        <v>26.646651039060774</v>
      </c>
      <c r="L58" s="439"/>
      <c r="M58" s="338"/>
      <c r="N58" s="338"/>
      <c r="O58" s="338"/>
      <c r="P58" s="338"/>
      <c r="Q58" s="338"/>
      <c r="R58" s="338"/>
      <c r="S58" s="338"/>
    </row>
    <row r="59" spans="1:19" ht="45">
      <c r="A59" s="269" t="str">
        <f>HLOOKUP($K$7,'RICON-S_Sprachen_DE-EN-FR'!$A$1:$C$43,37,FALSE)</f>
        <v>RICON® S 140/60 VK Max
HT: 8xSK8x80
NT: 8xSK8x240</v>
      </c>
      <c r="B59" s="352" t="s">
        <v>586</v>
      </c>
      <c r="C59" s="550">
        <f>IF($B$40='RICON_RICON-S-EK_GIGANT_WALCO '!$V$20,'RICON_RICON-S-EK_GIGANT_WALCO '!B61*'RICON_RICON-S-EK_GIGANT_WALCO '!E61,IF('RICON-S'!$B$40='RICON_RICON-S-EK_GIGANT_WALCO '!$V$21,'RICON_RICON-S-EK_GIGANT_WALCO '!C347,IF('RICON-S'!$B$40='RICON_RICON-S-EK_GIGANT_WALCO '!$V$22,18,'RICON_RICON-S-EK_GIGANT_WALCO '!C934)))</f>
        <v>34</v>
      </c>
      <c r="D59" s="550">
        <f>IF($B$40='RICON_RICON-S-EK_GIGANT_WALCO '!$V$20,'RICON_RICON-S-EK_GIGANT_WALCO '!L61,IF('RICON-S'!$B$40='RICON_RICON-S-EK_GIGANT_WALCO '!$V$21,'RICON_RICON-S-EK_GIGANT_WALCO '!F347,IF('RICON-S'!$B$40='RICON_RICON-S-EK_GIGANT_WALCO '!$V$22,'RICON_RICON-S-EK_GIGANT_WALCO '!F347,'RICON_RICON-S-EK_GIGANT_WALCO '!E934)))</f>
        <v>33.461995493984347</v>
      </c>
      <c r="E59" s="546">
        <f t="shared" ref="E59:E65" si="4">C59/$E$57</f>
        <v>34</v>
      </c>
      <c r="F59" s="81">
        <f t="shared" ref="F59:F65" si="5">MIN($E59,$D59*F$21/1.3)</f>
        <v>15.443997920300466</v>
      </c>
      <c r="G59" s="81">
        <f t="shared" si="3"/>
        <v>18.017997573683878</v>
      </c>
      <c r="H59" s="81">
        <f t="shared" si="3"/>
        <v>20.591997227067289</v>
      </c>
      <c r="I59" s="81">
        <f t="shared" si="3"/>
        <v>23.165996880450702</v>
      </c>
      <c r="J59" s="81">
        <f t="shared" si="3"/>
        <v>25.739996533834113</v>
      </c>
      <c r="K59" s="81">
        <f t="shared" si="3"/>
        <v>28.313996187217523</v>
      </c>
      <c r="L59" s="439"/>
      <c r="M59" s="338"/>
      <c r="N59" s="338"/>
      <c r="O59" s="338"/>
      <c r="P59" s="338"/>
      <c r="Q59" s="338"/>
      <c r="R59" s="338"/>
      <c r="S59" s="338"/>
    </row>
    <row r="60" spans="1:19" ht="45">
      <c r="A60" s="269" t="str">
        <f>HLOOKUP($K$7,'RICON-S_Sprachen_DE-EN-FR'!$A$1:$C$43,38,FALSE)</f>
        <v>RICON® S 200/60 VK ST
HT: 9xSK8x80
NT: 9xSK8x160</v>
      </c>
      <c r="B60" s="352" t="s">
        <v>457</v>
      </c>
      <c r="C60" s="550">
        <f>IF($B$40='RICON_RICON-S-EK_GIGANT_WALCO '!$V$20,'RICON_RICON-S-EK_GIGANT_WALCO '!B62*'RICON_RICON-S-EK_GIGANT_WALCO '!E62,IF('RICON-S'!$B$40='RICON_RICON-S-EK_GIGANT_WALCO '!$V$21,'RICON_RICON-S-EK_GIGANT_WALCO '!C348,IF('RICON-S'!$B$40='RICON_RICON-S-EK_GIGANT_WALCO '!$V$22,18,'RICON_RICON-S-EK_GIGANT_WALCO '!C935)))</f>
        <v>34</v>
      </c>
      <c r="D60" s="550">
        <f>IF($B$40='RICON_RICON-S-EK_GIGANT_WALCO '!$V$20,'RICON_RICON-S-EK_GIGANT_WALCO '!L62,IF('RICON-S'!$B$40='RICON_RICON-S-EK_GIGANT_WALCO '!$V$21,'RICON_RICON-S-EK_GIGANT_WALCO '!F348,IF('RICON-S'!$B$40='RICON_RICON-S-EK_GIGANT_WALCO '!$V$22,'RICON_RICON-S-EK_GIGANT_WALCO '!F348,'RICON_RICON-S-EK_GIGANT_WALCO '!E935)))</f>
        <v>34.932860097435942</v>
      </c>
      <c r="E60" s="546">
        <f t="shared" si="4"/>
        <v>34</v>
      </c>
      <c r="F60" s="81">
        <f t="shared" si="5"/>
        <v>16.122858506508894</v>
      </c>
      <c r="G60" s="81">
        <f t="shared" si="3"/>
        <v>18.810001590927044</v>
      </c>
      <c r="H60" s="81">
        <f t="shared" si="3"/>
        <v>21.497144675345194</v>
      </c>
      <c r="I60" s="81">
        <f t="shared" si="3"/>
        <v>24.184287759763347</v>
      </c>
      <c r="J60" s="81">
        <f t="shared" si="3"/>
        <v>26.871430844181493</v>
      </c>
      <c r="K60" s="81">
        <f t="shared" si="3"/>
        <v>29.558573928599646</v>
      </c>
      <c r="L60" s="439"/>
      <c r="M60" s="338"/>
      <c r="N60" s="338"/>
      <c r="O60" s="338"/>
      <c r="P60" s="338"/>
      <c r="Q60" s="338"/>
      <c r="R60" s="338"/>
      <c r="S60" s="338"/>
    </row>
    <row r="61" spans="1:19" ht="45.75" thickBot="1">
      <c r="A61" s="421" t="str">
        <f>HLOOKUP($K$7,'RICON-S_Sprachen_DE-EN-FR'!$A$1:$C$43,39,FALSE)</f>
        <v>RICON S 200/60 VK Max
HT: 9xSK8x80
NT: 9xSK8x240</v>
      </c>
      <c r="B61" s="422" t="s">
        <v>587</v>
      </c>
      <c r="C61" s="551">
        <f>IF($B$40='RICON_RICON-S-EK_GIGANT_WALCO '!$V$20,'RICON_RICON-S-EK_GIGANT_WALCO '!B63*'RICON_RICON-S-EK_GIGANT_WALCO '!E63,IF('RICON-S'!$B$40='RICON_RICON-S-EK_GIGANT_WALCO '!$V$21,'RICON_RICON-S-EK_GIGANT_WALCO '!C349,IF('RICON-S'!$B$40='RICON_RICON-S-EK_GIGANT_WALCO '!$V$22,18,'RICON_RICON-S-EK_GIGANT_WALCO '!C936)))</f>
        <v>34</v>
      </c>
      <c r="D61" s="600">
        <f>IF($B$40='RICON_RICON-S-EK_GIGANT_WALCO '!$V$20,'RICON_RICON-S-EK_GIGANT_WALCO '!L63,IF('RICON-S'!$B$40='RICON_RICON-S-EK_GIGANT_WALCO '!$V$21,'RICON_RICON-S-EK_GIGANT_WALCO '!F349,IF('RICON-S'!$B$40='RICON_RICON-S-EK_GIGANT_WALCO '!$V$22,'RICON_RICON-S-EK_GIGANT_WALCO '!F349,'RICON_RICON-S-EK_GIGANT_WALCO '!E936)))</f>
        <v>41.424610237180048</v>
      </c>
      <c r="E61" s="549">
        <f t="shared" si="4"/>
        <v>34</v>
      </c>
      <c r="F61" s="235">
        <f t="shared" si="5"/>
        <v>19.119050878698481</v>
      </c>
      <c r="G61" s="235">
        <f t="shared" si="3"/>
        <v>22.305559358481563</v>
      </c>
      <c r="H61" s="235">
        <f t="shared" si="3"/>
        <v>25.492067838264646</v>
      </c>
      <c r="I61" s="235">
        <f t="shared" si="3"/>
        <v>28.678576318047725</v>
      </c>
      <c r="J61" s="235">
        <f t="shared" si="3"/>
        <v>31.865084797830804</v>
      </c>
      <c r="K61" s="235">
        <f t="shared" si="3"/>
        <v>34</v>
      </c>
      <c r="L61" s="439"/>
      <c r="M61" s="338"/>
      <c r="N61" s="338"/>
      <c r="O61" s="338"/>
      <c r="P61" s="338"/>
      <c r="Q61" s="338"/>
      <c r="R61" s="338"/>
      <c r="S61" s="338"/>
    </row>
    <row r="62" spans="1:19" ht="45.75" thickTop="1">
      <c r="A62" s="269" t="str">
        <f>HLOOKUP($K$7,'RICON-S_Sprachen_DE-EN-FR'!$A$1:$C$43,40,FALSE)</f>
        <v>RICON® S 200/80 VK ST
HT: 9xSK10x100
NT: 9xSK10x200</v>
      </c>
      <c r="B62" s="354" t="s">
        <v>466</v>
      </c>
      <c r="C62" s="552">
        <f>IF($B$40='RICON_RICON-S-EK_GIGANT_WALCO '!$V$20,'RICON_RICON-S-EK_GIGANT_WALCO '!B64*'RICON_RICON-S-EK_GIGANT_WALCO '!E64,IF('RICON-S'!$B$40='RICON_RICON-S-EK_GIGANT_WALCO '!$V$21,'RICON_RICON-S-EK_GIGANT_WALCO '!C350,IF('RICON-S'!$B$40='RICON_RICON-S-EK_GIGANT_WALCO '!$V$22,18,'RICON_RICON-S-EK_GIGANT_WALCO '!C937)))</f>
        <v>50</v>
      </c>
      <c r="D62" s="552">
        <f>IF($B$40='RICON_RICON-S-EK_GIGANT_WALCO '!$V$20,'RICON_RICON-S-EK_GIGANT_WALCO '!L64,IF('RICON-S'!$B$40='RICON_RICON-S-EK_GIGANT_WALCO '!$V$21,'RICON_RICON-S-EK_GIGANT_WALCO '!F350,IF('RICON-S'!$B$40='RICON_RICON-S-EK_GIGANT_WALCO '!$V$22,'RICON_RICON-S-EK_GIGANT_WALCO '!F350,'RICON_RICON-S-EK_GIGANT_WALCO '!E937)))</f>
        <v>48.84998370785852</v>
      </c>
      <c r="E62" s="548">
        <f t="shared" si="4"/>
        <v>50</v>
      </c>
      <c r="F62" s="236">
        <f t="shared" si="5"/>
        <v>22.54614632670393</v>
      </c>
      <c r="G62" s="236">
        <f t="shared" si="3"/>
        <v>26.303837381154583</v>
      </c>
      <c r="H62" s="236">
        <f t="shared" si="3"/>
        <v>30.061528435605243</v>
      </c>
      <c r="I62" s="236">
        <f t="shared" si="3"/>
        <v>33.8192194900559</v>
      </c>
      <c r="J62" s="236">
        <f t="shared" si="3"/>
        <v>37.576910544506553</v>
      </c>
      <c r="K62" s="236">
        <f t="shared" si="3"/>
        <v>41.334601598957214</v>
      </c>
      <c r="L62" s="439"/>
      <c r="M62" s="338"/>
      <c r="N62" s="338"/>
      <c r="O62" s="338"/>
      <c r="P62" s="338"/>
      <c r="Q62" s="338"/>
      <c r="R62" s="338"/>
      <c r="S62" s="338"/>
    </row>
    <row r="63" spans="1:19" ht="45">
      <c r="A63" s="269" t="str">
        <f>HLOOKUP($K$7,'RICON-S_Sprachen_DE-EN-FR'!$A$1:$C$43,41,FALSE)</f>
        <v>RICON® S 200/80 VK Max
HT: 9xSK10x100
NT: 9xSK10x300</v>
      </c>
      <c r="B63" s="352" t="s">
        <v>466</v>
      </c>
      <c r="C63" s="550">
        <f>IF($B$40='RICON_RICON-S-EK_GIGANT_WALCO '!$V$20,'RICON_RICON-S-EK_GIGANT_WALCO '!B65*'RICON_RICON-S-EK_GIGANT_WALCO '!E65,IF('RICON-S'!$B$40='RICON_RICON-S-EK_GIGANT_WALCO '!$V$21,'RICON_RICON-S-EK_GIGANT_WALCO '!C351,IF('RICON-S'!$B$40='RICON_RICON-S-EK_GIGANT_WALCO '!$V$22,18,'RICON_RICON-S-EK_GIGANT_WALCO '!C938)))</f>
        <v>50</v>
      </c>
      <c r="D63" s="550">
        <f>IF($B$40='RICON_RICON-S-EK_GIGANT_WALCO '!$V$20,'RICON_RICON-S-EK_GIGANT_WALCO '!L65,IF('RICON-S'!$B$40='RICON_RICON-S-EK_GIGANT_WALCO '!$V$21,'RICON_RICON-S-EK_GIGANT_WALCO '!F351,IF('RICON-S'!$B$40='RICON_RICON-S-EK_GIGANT_WALCO '!$V$22,'RICON_RICON-S-EK_GIGANT_WALCO '!F351,'RICON_RICON-S-EK_GIGANT_WALCO '!E938)))</f>
        <v>58.443039446631978</v>
      </c>
      <c r="E63" s="546">
        <f t="shared" si="4"/>
        <v>50</v>
      </c>
      <c r="F63" s="81">
        <f t="shared" si="5"/>
        <v>26.973710513830145</v>
      </c>
      <c r="G63" s="81">
        <f t="shared" si="3"/>
        <v>31.469328932801833</v>
      </c>
      <c r="H63" s="81">
        <f t="shared" si="3"/>
        <v>35.964947351773525</v>
      </c>
      <c r="I63" s="81">
        <f t="shared" si="3"/>
        <v>40.460565770745212</v>
      </c>
      <c r="J63" s="81">
        <f t="shared" si="3"/>
        <v>44.956184189716907</v>
      </c>
      <c r="K63" s="81">
        <f t="shared" si="3"/>
        <v>49.451802608688602</v>
      </c>
      <c r="L63" s="439"/>
      <c r="M63" s="338"/>
      <c r="N63" s="338"/>
      <c r="O63" s="338"/>
      <c r="P63" s="338"/>
      <c r="Q63" s="338"/>
      <c r="R63" s="338"/>
      <c r="S63" s="338"/>
    </row>
    <row r="64" spans="1:19" ht="45">
      <c r="A64" s="269" t="str">
        <f>HLOOKUP($K$7,'RICON-S_Sprachen_DE-EN-FR'!$A$1:$C$43,42,FALSE)</f>
        <v>RICON® S 290/80 VK ST
HT: 9xSK10x100
NT: 9xSK10x200</v>
      </c>
      <c r="B64" s="352" t="s">
        <v>467</v>
      </c>
      <c r="C64" s="550">
        <f>IF($B$40='RICON_RICON-S-EK_GIGANT_WALCO '!$V$20,'RICON_RICON-S-EK_GIGANT_WALCO '!B66*'RICON_RICON-S-EK_GIGANT_WALCO '!E66,IF('RICON-S'!$B$40='RICON_RICON-S-EK_GIGANT_WALCO '!$V$21,'RICON_RICON-S-EK_GIGANT_WALCO '!C352,IF('RICON-S'!$B$40='RICON_RICON-S-EK_GIGANT_WALCO '!$V$22,18,'RICON_RICON-S-EK_GIGANT_WALCO '!C939)))</f>
        <v>50</v>
      </c>
      <c r="D64" s="550">
        <f>IF($B$40='RICON_RICON-S-EK_GIGANT_WALCO '!$V$20,'RICON_RICON-S-EK_GIGANT_WALCO '!L66,IF('RICON-S'!$B$40='RICON_RICON-S-EK_GIGANT_WALCO '!$V$21,'RICON_RICON-S-EK_GIGANT_WALCO '!F352,IF('RICON-S'!$B$40='RICON_RICON-S-EK_GIGANT_WALCO '!$V$22,'RICON_RICON-S-EK_GIGANT_WALCO '!F352,'RICON_RICON-S-EK_GIGANT_WALCO '!E939)))</f>
        <v>48.84998370785852</v>
      </c>
      <c r="E64" s="546">
        <f t="shared" si="4"/>
        <v>50</v>
      </c>
      <c r="F64" s="81">
        <f t="shared" si="5"/>
        <v>22.54614632670393</v>
      </c>
      <c r="G64" s="81">
        <f t="shared" si="3"/>
        <v>26.303837381154583</v>
      </c>
      <c r="H64" s="81">
        <f t="shared" si="3"/>
        <v>30.061528435605243</v>
      </c>
      <c r="I64" s="81">
        <f t="shared" si="3"/>
        <v>33.8192194900559</v>
      </c>
      <c r="J64" s="81">
        <f t="shared" si="3"/>
        <v>37.576910544506553</v>
      </c>
      <c r="K64" s="81">
        <f t="shared" si="3"/>
        <v>41.334601598957214</v>
      </c>
      <c r="L64" s="439"/>
      <c r="M64" s="338"/>
      <c r="N64" s="338"/>
      <c r="O64" s="338"/>
      <c r="P64" s="338"/>
      <c r="Q64" s="338"/>
      <c r="R64" s="338"/>
      <c r="S64" s="338"/>
    </row>
    <row r="65" spans="1:20" ht="45">
      <c r="A65" s="269" t="str">
        <f>HLOOKUP($K$7,'RICON-S_Sprachen_DE-EN-FR'!$A$1:$C$43,43,FALSE)</f>
        <v>RICON® S 290/80 VK Max
HT: 9xSK10x100
NT: 9xSK10x300</v>
      </c>
      <c r="B65" s="352" t="s">
        <v>467</v>
      </c>
      <c r="C65" s="550">
        <f>IF($B$40='RICON_RICON-S-EK_GIGANT_WALCO '!$V$20,'RICON_RICON-S-EK_GIGANT_WALCO '!B67*'RICON_RICON-S-EK_GIGANT_WALCO '!E67,IF('RICON-S'!$B$40='RICON_RICON-S-EK_GIGANT_WALCO '!$V$21,'RICON_RICON-S-EK_GIGANT_WALCO '!C353,IF('RICON-S'!$B$40='RICON_RICON-S-EK_GIGANT_WALCO '!$V$22,18,'RICON_RICON-S-EK_GIGANT_WALCO '!C940)))</f>
        <v>50</v>
      </c>
      <c r="D65" s="550">
        <f>IF($B$40='RICON_RICON-S-EK_GIGANT_WALCO '!$V$20,'RICON_RICON-S-EK_GIGANT_WALCO '!L67,IF('RICON-S'!$B$40='RICON_RICON-S-EK_GIGANT_WALCO '!$V$21,'RICON_RICON-S-EK_GIGANT_WALCO '!F353,IF('RICON-S'!$B$40='RICON_RICON-S-EK_GIGANT_WALCO '!$V$22,'RICON_RICON-S-EK_GIGANT_WALCO '!F353,'RICON_RICON-S-EK_GIGANT_WALCO '!E940)))</f>
        <v>59.709990723289614</v>
      </c>
      <c r="E65" s="546">
        <f t="shared" si="4"/>
        <v>50</v>
      </c>
      <c r="F65" s="81">
        <f t="shared" si="5"/>
        <v>27.558457256902898</v>
      </c>
      <c r="G65" s="81">
        <f t="shared" si="3"/>
        <v>32.151533466386709</v>
      </c>
      <c r="H65" s="81">
        <f t="shared" si="3"/>
        <v>36.744609675870528</v>
      </c>
      <c r="I65" s="81">
        <f t="shared" si="3"/>
        <v>41.337685885354347</v>
      </c>
      <c r="J65" s="81">
        <f t="shared" si="3"/>
        <v>45.930762094838165</v>
      </c>
      <c r="K65" s="81">
        <f t="shared" si="3"/>
        <v>50</v>
      </c>
      <c r="L65" s="439"/>
      <c r="M65" s="338"/>
      <c r="N65" s="338"/>
      <c r="O65" s="338"/>
      <c r="P65" s="338"/>
      <c r="Q65" s="338"/>
      <c r="R65" s="338"/>
      <c r="S65" s="338"/>
    </row>
    <row r="66" spans="1:20">
      <c r="A66" s="333"/>
      <c r="B66" s="355"/>
      <c r="C66" s="338"/>
      <c r="D66" s="338"/>
      <c r="E66" s="338"/>
      <c r="F66" s="338"/>
      <c r="G66" s="338"/>
      <c r="H66" s="338"/>
      <c r="I66" s="338"/>
      <c r="K66" s="333"/>
      <c r="L66" s="338"/>
      <c r="M66" s="338"/>
      <c r="N66" s="338"/>
      <c r="O66" s="338"/>
      <c r="P66" s="338"/>
      <c r="Q66" s="338"/>
      <c r="R66" s="338"/>
    </row>
    <row r="67" spans="1:20">
      <c r="A67" s="333"/>
      <c r="B67" s="355"/>
      <c r="C67" s="338"/>
      <c r="D67" s="338"/>
      <c r="E67" s="338"/>
      <c r="F67" s="338"/>
      <c r="G67" s="338"/>
      <c r="H67" s="338"/>
      <c r="I67" s="338"/>
      <c r="K67" s="333"/>
      <c r="L67" s="338"/>
      <c r="M67" s="338"/>
      <c r="N67" s="338"/>
      <c r="O67" s="338"/>
      <c r="P67" s="338"/>
      <c r="Q67" s="338"/>
      <c r="R67" s="338"/>
    </row>
    <row r="68" spans="1:20">
      <c r="A68" s="333" t="str">
        <f>HLOOKUP($K$7,'RICON-S_Sprachen_DE-EN-FR'!$A$1:$C$44,44,FALSE)</f>
        <v>Berechnung von F2,Rd:</v>
      </c>
      <c r="B68" s="355"/>
      <c r="C68" s="338"/>
      <c r="D68" s="338"/>
      <c r="E68" s="338"/>
      <c r="F68" s="338"/>
      <c r="G68" s="338"/>
      <c r="H68" s="338"/>
      <c r="I68" s="338"/>
      <c r="K68" s="333"/>
      <c r="L68" s="338"/>
      <c r="M68" s="338"/>
      <c r="N68" s="338"/>
      <c r="O68" s="338"/>
      <c r="P68" s="338"/>
      <c r="Q68" s="338"/>
      <c r="R68" s="338"/>
    </row>
    <row r="69" spans="1:20">
      <c r="A69" s="333"/>
      <c r="B69" s="355"/>
      <c r="C69" s="338"/>
      <c r="D69" s="338"/>
      <c r="E69" s="338"/>
      <c r="F69" s="338"/>
      <c r="G69" s="338"/>
      <c r="H69" s="338"/>
      <c r="I69" s="338"/>
      <c r="K69" s="333"/>
      <c r="L69" s="338"/>
      <c r="M69" s="338"/>
      <c r="N69" s="338"/>
      <c r="O69" s="338"/>
      <c r="P69" s="338"/>
      <c r="Q69" s="338"/>
      <c r="R69" s="338"/>
    </row>
    <row r="70" spans="1:20">
      <c r="A70" s="333"/>
      <c r="B70" s="355"/>
      <c r="C70" s="338"/>
      <c r="D70" s="338"/>
      <c r="E70" s="338"/>
      <c r="F70" s="338"/>
      <c r="G70" s="338"/>
      <c r="H70" s="338"/>
      <c r="I70" s="338"/>
      <c r="K70" s="333"/>
      <c r="L70" s="338"/>
      <c r="M70" s="338"/>
      <c r="N70" s="338"/>
      <c r="O70" s="338"/>
      <c r="P70" s="338"/>
      <c r="Q70" s="338"/>
      <c r="R70" s="338"/>
    </row>
    <row r="71" spans="1:20">
      <c r="A71" s="333"/>
      <c r="B71" s="355"/>
      <c r="C71" s="338"/>
      <c r="D71" s="338"/>
      <c r="E71" s="338"/>
      <c r="F71" s="338"/>
      <c r="G71" s="338"/>
      <c r="H71" s="338"/>
      <c r="I71" s="338"/>
      <c r="K71" s="333"/>
      <c r="L71" s="338"/>
      <c r="M71" s="338"/>
      <c r="N71" s="338"/>
      <c r="O71" s="338"/>
      <c r="P71" s="338"/>
      <c r="Q71" s="338"/>
      <c r="R71" s="338"/>
    </row>
    <row r="72" spans="1:20" ht="15.75" thickBot="1">
      <c r="A72" s="476"/>
      <c r="B72" s="477"/>
      <c r="C72" s="478"/>
      <c r="D72" s="478"/>
      <c r="E72" s="478"/>
      <c r="F72" s="478"/>
      <c r="G72" s="478"/>
      <c r="H72" s="478"/>
      <c r="I72" s="478"/>
      <c r="J72" s="423"/>
      <c r="K72" s="476"/>
      <c r="L72" s="338"/>
      <c r="M72" s="338"/>
      <c r="N72" s="338"/>
      <c r="O72" s="338"/>
      <c r="P72" s="338"/>
      <c r="Q72" s="338"/>
      <c r="R72" s="338"/>
    </row>
    <row r="73" spans="1:20">
      <c r="A73" s="758" t="str">
        <f>HLOOKUP(K7,'RICON-S_Sprachen_DE-EN-FR'!A1:C46,46,FALSE)</f>
        <v>Belastungstabelle von KNAPP® RICON® S nach ETA-10/0189 (Ausgabe 25/08/2022)</v>
      </c>
      <c r="B73" s="758"/>
      <c r="C73" s="758"/>
      <c r="D73" s="758"/>
      <c r="E73" s="758"/>
      <c r="F73" s="758"/>
      <c r="G73" s="758"/>
      <c r="H73" s="758"/>
      <c r="I73" s="758"/>
      <c r="J73" s="758"/>
      <c r="K73" s="758"/>
      <c r="L73" s="338"/>
      <c r="M73" s="338"/>
      <c r="N73" s="338"/>
      <c r="O73" s="338"/>
      <c r="P73" s="338"/>
      <c r="Q73" s="338"/>
      <c r="R73" s="338"/>
    </row>
    <row r="74" spans="1:20" ht="15.75" thickBot="1">
      <c r="A74" s="759"/>
      <c r="B74" s="759"/>
      <c r="C74" s="759"/>
      <c r="D74" s="759"/>
      <c r="E74" s="759"/>
      <c r="F74" s="759"/>
      <c r="G74" s="759"/>
      <c r="H74" s="759"/>
      <c r="I74" s="759"/>
      <c r="J74" s="759"/>
      <c r="K74" s="759"/>
      <c r="L74" s="338"/>
      <c r="M74" s="338"/>
      <c r="N74" s="338"/>
      <c r="O74" s="338"/>
      <c r="P74" s="338"/>
      <c r="Q74" s="338"/>
      <c r="R74" s="338"/>
    </row>
    <row r="75" spans="1:20" ht="33.75">
      <c r="A75" s="370" t="str">
        <f>HLOOKUP(K7,'RICON-S_Sprachen_DE-EN-FR'!A1:C47,47,FALSE)</f>
        <v>RICON® S VS: (RICON® S mit verschweißten Kragenbolzen)</v>
      </c>
      <c r="B75" s="371"/>
      <c r="C75" s="371"/>
      <c r="D75" s="371"/>
      <c r="E75" s="371"/>
      <c r="F75" s="371"/>
      <c r="G75" s="371"/>
      <c r="H75" s="371"/>
      <c r="I75" s="371"/>
      <c r="J75" s="369"/>
      <c r="K75" s="369"/>
      <c r="L75" s="427"/>
      <c r="M75" s="427"/>
      <c r="N75" s="427"/>
      <c r="O75" s="427"/>
      <c r="P75" s="427"/>
      <c r="Q75" s="427"/>
      <c r="R75" s="427"/>
      <c r="S75" s="427"/>
      <c r="T75" s="427"/>
    </row>
    <row r="76" spans="1:20" ht="21">
      <c r="A76" s="337" t="str">
        <f>HLOOKUP(K7,'RICON-S_Sprachen_DE-EN-FR'!A1:C48,48,FALSE)</f>
        <v>Belastungswerte:</v>
      </c>
      <c r="B76" s="649" t="s">
        <v>1210</v>
      </c>
      <c r="C76" s="362"/>
      <c r="D76" s="362" t="str">
        <f>HLOOKUP(K7,'RICON-S_Sprachen_DE-EN-FR'!A1:C49,49,FALSE)</f>
        <v>Festigkeitsklasse:</v>
      </c>
      <c r="E76" s="400" t="s">
        <v>25</v>
      </c>
      <c r="G76" s="391" t="str">
        <f>VLOOKUP(E76,'RICON_RICON-S-EK_GIGANT_WALCO '!V7:Z18,5,FALSE)</f>
        <v>Brettschichtholz homogen</v>
      </c>
      <c r="H76" s="391"/>
      <c r="K76" s="362"/>
      <c r="L76" s="362"/>
      <c r="M76" s="362"/>
      <c r="N76" s="362"/>
      <c r="O76" s="362"/>
      <c r="P76" s="362"/>
      <c r="Q76" s="362"/>
      <c r="R76" s="362"/>
    </row>
    <row r="77" spans="1:20" ht="21">
      <c r="A77" s="772" t="str">
        <f>IF(B76='RICON_RICON-S-EK_GIGANT_WALCO '!$V$20,HLOOKUP($K$7,'RICON_RICON-S-EK_GIGANT_WALCO '!$V$19:$Y$23,2,FALSE),IF(B76='RICON_RICON-S-EK_GIGANT_WALCO '!$V$21,HLOOKUP($K$7,'RICON_RICON-S-EK_GIGANT_WALCO '!$V$19:$Y$23,3,FALSE),IF(B76='RICON_RICON-S-EK_GIGANT_WALCO '!$V$22,HLOOKUP($K$7,'RICON_RICON-S-EK_GIGANT_WALCO '!$V$19:$Y$23,4,FALSE),HLOOKUP($K$7,'RICON_RICON-S-EK_GIGANT_WALCO '!$V$19:$Y$23,5,FALSE))))</f>
        <v>In Einschubrichtung</v>
      </c>
      <c r="B77" s="772"/>
      <c r="C77" s="772"/>
      <c r="D77" s="362" t="str">
        <f>HLOOKUP(K7,'RICON-S_Sprachen_DE-EN-FR'!A1:C50,50,FALSE)</f>
        <v>Nutzungsklasse NKL:</v>
      </c>
      <c r="E77" s="400">
        <v>1</v>
      </c>
      <c r="G77" s="391" t="str">
        <f>VLOOKUP(E77,'RICON_RICON-S-EK_GIGANT_WALCO '!V27:Y29,4,FALSE)</f>
        <v>Innenbereich</v>
      </c>
      <c r="H77" s="392"/>
      <c r="K77" s="339"/>
    </row>
    <row r="78" spans="1:20" ht="18.75">
      <c r="A78" s="339"/>
      <c r="B78" s="339"/>
      <c r="K78" s="339"/>
    </row>
    <row r="79" spans="1:20" ht="18.75">
      <c r="A79" s="339"/>
      <c r="B79" s="339"/>
      <c r="K79" s="339"/>
    </row>
    <row r="80" spans="1:20" ht="18.75">
      <c r="A80" s="339"/>
      <c r="B80" s="339"/>
      <c r="J80" t="str">
        <f>HLOOKUP($K$7,'RICON-S_Sprachen_DE-EN-FR'!$A$1:C80,80,FALSE)</f>
        <v>1. Hauptträger</v>
      </c>
    </row>
    <row r="81" spans="1:19" ht="18.75">
      <c r="A81" s="339"/>
      <c r="B81" s="339"/>
      <c r="J81" t="str">
        <f>HLOOKUP($K$7,'RICON-S_Sprachen_DE-EN-FR'!$A$1:C81,81,FALSE)</f>
        <v>2. Nebenträger</v>
      </c>
    </row>
    <row r="82" spans="1:19" ht="18.75">
      <c r="A82" s="339"/>
      <c r="B82" s="339"/>
      <c r="J82" t="str">
        <f>HLOOKUP($K$7,'RICON-S_Sprachen_DE-EN-FR'!$A$1:C82,82,FALSE)</f>
        <v>3. Verschweißter Kragenbolzen</v>
      </c>
    </row>
    <row r="83" spans="1:19" ht="18.75">
      <c r="A83" s="339"/>
      <c r="B83" s="339"/>
      <c r="J83" s="775" t="str">
        <f>HLOOKUP($K$7,'RICON-S_Sprachen_DE-EN-FR'!$A$1:C83,83,FALSE)</f>
        <v>4. 2x Schrägschrauben SK 10x400 (Hauptträger)</v>
      </c>
      <c r="K83" s="775"/>
    </row>
    <row r="84" spans="1:19" ht="18.75">
      <c r="A84" s="339"/>
      <c r="B84" s="339"/>
      <c r="J84" s="775"/>
      <c r="K84" s="775"/>
    </row>
    <row r="85" spans="1:19" ht="18.75" customHeight="1">
      <c r="A85" s="339"/>
      <c r="B85" s="339"/>
      <c r="J85" s="775" t="str">
        <f>HLOOKUP($K$7,'RICON-S_Sprachen_DE-EN-FR'!$A$1:C84,84,FALSE)</f>
        <v>5. 2x Schrägschrauben SK 10x450 (Nebenträger)</v>
      </c>
      <c r="K85" s="775"/>
    </row>
    <row r="86" spans="1:19" ht="18.75" customHeight="1">
      <c r="A86" s="339"/>
      <c r="B86" s="339"/>
      <c r="J86" s="775"/>
      <c r="K86" s="775"/>
    </row>
    <row r="87" spans="1:19" ht="18.75" customHeight="1">
      <c r="A87" s="339"/>
      <c r="B87" s="339"/>
      <c r="J87" s="775" t="str">
        <f>HLOOKUP($K$7,'RICON-S_Sprachen_DE-EN-FR'!$A$1:C85,85,FALSE)</f>
        <v>6. Mit / ohne Vollgewindeschraube</v>
      </c>
      <c r="K87" s="775"/>
    </row>
    <row r="88" spans="1:19" ht="18.75">
      <c r="A88" s="339"/>
      <c r="B88" s="339"/>
      <c r="J88" s="775"/>
      <c r="K88" s="775"/>
    </row>
    <row r="89" spans="1:19" ht="18.75">
      <c r="A89" s="339"/>
      <c r="B89" s="339"/>
    </row>
    <row r="90" spans="1:19" ht="21">
      <c r="A90" s="334"/>
      <c r="B90" s="334"/>
    </row>
    <row r="91" spans="1:19" ht="15.75">
      <c r="A91" s="814" t="str">
        <f>HLOOKUP(K7,'RICON-S_Sprachen_DE-EN-FR'!A1:C51,51,FALSE)</f>
        <v>Bild 1: RICON® S60 VS Einzelanschluss</v>
      </c>
      <c r="B91" s="814"/>
      <c r="C91" s="814"/>
      <c r="E91" s="480" t="str">
        <f>HLOOKUP(K7,'RICON-S_Sprachen_DE-EN-FR'!A1:C52,52,FALSE)</f>
        <v>Bild 2: RICON® S 390x80 VS+ZP Einzelanschluss</v>
      </c>
      <c r="F91" s="480"/>
      <c r="G91" s="480"/>
      <c r="J91" s="489"/>
      <c r="K91" s="489"/>
    </row>
    <row r="92" spans="1:19" ht="21">
      <c r="A92" s="334"/>
      <c r="B92" s="334"/>
      <c r="K92" s="334"/>
    </row>
    <row r="93" spans="1:19" ht="18">
      <c r="A93" s="579" t="str">
        <f>HLOOKUP(K7,'RICON-S_Sprachen_DE-EN-FR'!A1:C53,53,FALSE)</f>
        <v>KNAPP®Verbinder</v>
      </c>
      <c r="B93" s="769" t="str">
        <f>HLOOKUP(K7,'RICON-S_Sprachen_DE-EN-FR'!A1:C54,54,FALSE)</f>
        <v>Min. Nebenträgerabmessungen [mm]</v>
      </c>
      <c r="C93" s="812" t="str">
        <f>HLOOKUP(K7,'RICON-S_Sprachen_DE-EN-FR'!A1:C55,55,FALSE)</f>
        <v>Charakteristische Werte [kN]</v>
      </c>
      <c r="D93" s="812"/>
      <c r="E93" s="545" t="str">
        <f>IF(B76='RICON_RICON-S-EK_GIGANT_WALCO '!$V$20,"F1,KCC,Rd",IF(B76='RICON_RICON-S-EK_GIGANT_WALCO '!$V$21,"F2,KCC,Rd",IF(B76='RICON_RICON-S-EK_GIGANT_WALCO '!$V$22,"F3,KCC,Rd","F45,KCC,Rd")))</f>
        <v>F2,KCC,Rd</v>
      </c>
      <c r="F93" s="766" t="str">
        <f>HLOOKUP(K7,'RICON-S_Sprachen_DE-EN-FR'!A1:C56,56,FALSE)</f>
        <v xml:space="preserve">Bemessungswerte </v>
      </c>
      <c r="G93" s="767"/>
      <c r="H93" s="767"/>
      <c r="I93" s="542" t="str">
        <f>IF(B76='RICON_RICON-S-EK_GIGANT_WALCO '!$V$20,"F1,Rd [kN]",IF(B76='RICON_RICON-S-EK_GIGANT_WALCO '!$V$21,"F2,Rd [kN]",IF(B76='RICON_RICON-S-EK_GIGANT_WALCO '!$V$22,"F3,Rd [kN]","F45,Rd [kN]")))</f>
        <v>F2,Rd [kN]</v>
      </c>
      <c r="J93" s="542" t="str">
        <f>E76</f>
        <v>GL24h</v>
      </c>
      <c r="K93" s="531" t="s">
        <v>1203</v>
      </c>
      <c r="L93" s="440"/>
      <c r="M93" s="375"/>
    </row>
    <row r="94" spans="1:19" ht="31.5" customHeight="1">
      <c r="A94" s="534"/>
      <c r="B94" s="770"/>
      <c r="C94" s="529" t="str">
        <f>IF(B76='RICON_RICON-S-EK_GIGANT_WALCO '!$V$20,"F1,KCC,RK",IF(B76='RICON_RICON-S-EK_GIGANT_WALCO '!$V$21,"F2,KCC,RK",IF(B76='RICON_RICON-S-EK_GIGANT_WALCO '!$V$22,"F3,KCC,RK","F45,KCC,Rk")))</f>
        <v>F2,KCC,RK</v>
      </c>
      <c r="D94" s="544" t="str">
        <f>IF(B76='RICON_RICON-S-EK_GIGANT_WALCO '!$V$20,"F1,RK",IF(B76='RICON_RICON-S-EK_GIGANT_WALCO '!$V$21,"F2,RK",IF(B76='RICON_RICON-S-EK_GIGANT_WALCO '!$V$22,"F3,RK","F45,Rk")))</f>
        <v>F2,RK</v>
      </c>
      <c r="E94" s="547">
        <f>IF(B76='RICON_RICON-S-EK_GIGANT_WALCO '!$V$22,1.25,1)</f>
        <v>1</v>
      </c>
      <c r="F94" s="580">
        <v>0.6</v>
      </c>
      <c r="G94" s="535">
        <v>0.7</v>
      </c>
      <c r="H94" s="535">
        <v>0.8</v>
      </c>
      <c r="I94" s="535">
        <v>0.9</v>
      </c>
      <c r="J94" s="535">
        <v>1</v>
      </c>
      <c r="K94" s="535">
        <v>1.1000000000000001</v>
      </c>
      <c r="L94" s="438"/>
      <c r="M94" s="428"/>
      <c r="N94" s="428"/>
      <c r="O94" s="428"/>
      <c r="P94" s="428"/>
      <c r="Q94" s="428"/>
      <c r="R94" s="428"/>
      <c r="S94" s="428"/>
    </row>
    <row r="95" spans="1:19" ht="45">
      <c r="A95" s="420" t="str">
        <f>HLOOKUP($K$7,'RICON-S_Sprachen_DE-EN-FR'!$A$1:$C$71,57,FALSE)</f>
        <v>RICON® S 140/60 VS Min
HT: 7xSK8x80
NT: 7xSK8x160</v>
      </c>
      <c r="B95" s="354" t="s">
        <v>456</v>
      </c>
      <c r="C95" s="550">
        <f>IF($B$76='RICON_RICON-S-EK_GIGANT_WALCO '!$V$20,'RICON-S-VS'!D7*'RICON-S-VS'!G7,IF('RICON-S'!$B$76='RICON_RICON-S-EK_GIGANT_WALCO '!$V$21,'RICON-S-VS'!C89,IF('RICON-S'!$B$76='RICON_RICON-S-EK_GIGANT_WALCO '!$V$22,18,'RICON-S-VS'!C197)))</f>
        <v>60</v>
      </c>
      <c r="D95" s="550">
        <f>IF($B$76='RICON_RICON-S-EK_GIGANT_WALCO '!$V$20,'RICON-S-VS'!N7,IF('RICON-S'!$B$76='RICON_RICON-S-EK_GIGANT_WALCO '!$V$21,'RICON-S-VS'!F89,IF('RICON-S'!$B$76='RICON_RICON-S-EK_GIGANT_WALCO '!$V$22,'RICON-S-VS'!F89,'RICON-S-VS'!E197)))</f>
        <v>26.907286476487887</v>
      </c>
      <c r="E95" s="546">
        <f>C95/$E$94</f>
        <v>60</v>
      </c>
      <c r="F95" s="81">
        <f>MIN($E95,$D95*F$94/1.3)</f>
        <v>12.41874760453287</v>
      </c>
      <c r="G95" s="81">
        <f t="shared" ref="G95:K109" si="6">MIN($E95,$D95*G$94/1.3)</f>
        <v>14.488538871955015</v>
      </c>
      <c r="H95" s="81">
        <f t="shared" si="6"/>
        <v>16.558330139377162</v>
      </c>
      <c r="I95" s="81">
        <f t="shared" si="6"/>
        <v>18.628121406799306</v>
      </c>
      <c r="J95" s="81">
        <f t="shared" si="6"/>
        <v>20.697912674221449</v>
      </c>
      <c r="K95" s="81">
        <f t="shared" si="6"/>
        <v>22.767703941643596</v>
      </c>
      <c r="L95" s="439"/>
      <c r="M95" s="338"/>
      <c r="N95" s="338"/>
      <c r="O95" s="338"/>
      <c r="P95" s="338"/>
      <c r="Q95" s="338"/>
      <c r="R95" s="338"/>
      <c r="S95" s="338"/>
    </row>
    <row r="96" spans="1:19" ht="45">
      <c r="A96" s="420" t="str">
        <f>HLOOKUP($K$7,'RICON-S_Sprachen_DE-EN-FR'!$A$1:$C$71,58,FALSE)</f>
        <v>RICON® S 140/60 VS ST
HT: 10xSK8x80
NT: 10xSK8x160</v>
      </c>
      <c r="B96" s="352" t="s">
        <v>456</v>
      </c>
      <c r="C96" s="550">
        <f>IF($B$76='RICON_RICON-S-EK_GIGANT_WALCO '!$V$20,'RICON-S-VS'!D8*'RICON-S-VS'!G8,IF('RICON-S'!$B$76='RICON_RICON-S-EK_GIGANT_WALCO '!$V$21,'RICON-S-VS'!C90,IF('RICON-S'!$B$76='RICON_RICON-S-EK_GIGANT_WALCO '!$V$22,18,'RICON-S-VS'!C198)))</f>
        <v>60</v>
      </c>
      <c r="D96" s="550">
        <f>IF($B$76='RICON_RICON-S-EK_GIGANT_WALCO '!$V$20,'RICON-S-VS'!N8,IF('RICON-S'!$B$76='RICON_RICON-S-EK_GIGANT_WALCO '!$V$21,'RICON-S-VS'!F90,IF('RICON-S'!$B$76='RICON_RICON-S-EK_GIGANT_WALCO '!$V$22,'RICON-S-VS'!F90,'RICON-S-VS'!E198)))</f>
        <v>37.092120892934879</v>
      </c>
      <c r="E96" s="546">
        <f t="shared" ref="E96:E109" si="7">C96/$E$94</f>
        <v>60</v>
      </c>
      <c r="F96" s="81">
        <f t="shared" ref="F96:F109" si="8">MIN($E96,$D96*F$94/1.3)</f>
        <v>17.11944041212379</v>
      </c>
      <c r="G96" s="81">
        <f t="shared" si="6"/>
        <v>19.972680480811086</v>
      </c>
      <c r="H96" s="81">
        <f t="shared" si="6"/>
        <v>22.825920549498388</v>
      </c>
      <c r="I96" s="81">
        <f t="shared" si="6"/>
        <v>25.679160618185687</v>
      </c>
      <c r="J96" s="81">
        <f t="shared" si="6"/>
        <v>28.532400686872982</v>
      </c>
      <c r="K96" s="81">
        <f t="shared" si="6"/>
        <v>31.385640755560285</v>
      </c>
      <c r="L96" s="439"/>
      <c r="M96" s="338"/>
      <c r="N96" s="338"/>
      <c r="O96" s="338"/>
      <c r="P96" s="338"/>
      <c r="Q96" s="338"/>
      <c r="R96" s="338"/>
      <c r="S96" s="338"/>
    </row>
    <row r="97" spans="1:19" ht="45.75" thickBot="1">
      <c r="A97" s="506" t="str">
        <f>HLOOKUP($K$7,'RICON-S_Sprachen_DE-EN-FR'!$A$1:$C$71,59,FALSE)</f>
        <v>RICON® S 140/60 VS Max
HT: 10xSK8x80
NT: 10xSK8x240</v>
      </c>
      <c r="B97" s="422" t="s">
        <v>873</v>
      </c>
      <c r="C97" s="551">
        <f>IF($B$76='RICON_RICON-S-EK_GIGANT_WALCO '!$V$20,'RICON-S-VS'!D9*'RICON-S-VS'!G9,IF('RICON-S'!$B$76='RICON_RICON-S-EK_GIGANT_WALCO '!$V$21,'RICON-S-VS'!C91,IF('RICON-S'!$B$76='RICON_RICON-S-EK_GIGANT_WALCO '!$V$22,18,'RICON-S-VS'!C199)))</f>
        <v>60</v>
      </c>
      <c r="D97" s="551">
        <f>IF($B$76='RICON_RICON-S-EK_GIGANT_WALCO '!$V$20,'RICON-S-VS'!N9,IF('RICON-S'!$B$76='RICON_RICON-S-EK_GIGANT_WALCO '!$V$21,'RICON-S-VS'!F91,IF('RICON-S'!$B$76='RICON_RICON-S-EK_GIGANT_WALCO '!$V$22,'RICON-S-VS'!F91,'RICON-S-VS'!E199)))</f>
        <v>40.18125965399701</v>
      </c>
      <c r="E97" s="549">
        <f t="shared" si="7"/>
        <v>60</v>
      </c>
      <c r="F97" s="235">
        <f t="shared" si="8"/>
        <v>18.545196763383235</v>
      </c>
      <c r="G97" s="235">
        <f t="shared" si="6"/>
        <v>21.636062890613772</v>
      </c>
      <c r="H97" s="235">
        <f t="shared" si="6"/>
        <v>24.726929017844313</v>
      </c>
      <c r="I97" s="235">
        <f t="shared" si="6"/>
        <v>27.817795145074854</v>
      </c>
      <c r="J97" s="235">
        <f t="shared" si="6"/>
        <v>30.908661272305391</v>
      </c>
      <c r="K97" s="235">
        <f t="shared" si="6"/>
        <v>33.999527399535936</v>
      </c>
      <c r="L97" s="439"/>
      <c r="M97" s="338"/>
      <c r="N97" s="338"/>
      <c r="O97" s="338"/>
      <c r="P97" s="338"/>
      <c r="Q97" s="338"/>
      <c r="R97" s="338"/>
      <c r="S97" s="338"/>
    </row>
    <row r="98" spans="1:19" ht="45.75" thickTop="1">
      <c r="A98" s="420" t="str">
        <f>HLOOKUP($K$7,'RICON-S_Sprachen_DE-EN-FR'!$A$1:$C$71,60,FALSE)</f>
        <v>RICON® S 200/60 VS Min
HT: 8xSK8x80
NT: 8xSK8x160</v>
      </c>
      <c r="B98" s="354" t="s">
        <v>457</v>
      </c>
      <c r="C98" s="552">
        <f>IF($B$76='RICON_RICON-S-EK_GIGANT_WALCO '!$V$20,'RICON-S-VS'!D10*'RICON-S-VS'!G10,IF('RICON-S'!$B$76='RICON_RICON-S-EK_GIGANT_WALCO '!$V$21,'RICON-S-VS'!C92,IF('RICON-S'!$B$76='RICON_RICON-S-EK_GIGANT_WALCO '!$V$22,18,'RICON-S-VS'!C200)))</f>
        <v>60</v>
      </c>
      <c r="D98" s="552">
        <f>IF($B$76='RICON_RICON-S-EK_GIGANT_WALCO '!$V$20,'RICON-S-VS'!N10,IF('RICON-S'!$B$76='RICON_RICON-S-EK_GIGANT_WALCO '!$V$21,'RICON-S-VS'!F92,IF('RICON-S'!$B$76='RICON_RICON-S-EK_GIGANT_WALCO '!$V$22,'RICON-S-VS'!F92,'RICON-S-VS'!E200)))</f>
        <v>30.343289098043243</v>
      </c>
      <c r="E98" s="548">
        <f t="shared" si="7"/>
        <v>60</v>
      </c>
      <c r="F98" s="236">
        <f t="shared" si="8"/>
        <v>14.004594968327648</v>
      </c>
      <c r="G98" s="236">
        <f t="shared" si="6"/>
        <v>16.338694129715591</v>
      </c>
      <c r="H98" s="236">
        <f t="shared" si="6"/>
        <v>18.672793291103535</v>
      </c>
      <c r="I98" s="236">
        <f t="shared" si="6"/>
        <v>21.006892452491478</v>
      </c>
      <c r="J98" s="236">
        <f t="shared" si="6"/>
        <v>23.340991613879417</v>
      </c>
      <c r="K98" s="236">
        <f t="shared" si="6"/>
        <v>25.675090775267364</v>
      </c>
      <c r="L98" s="439"/>
      <c r="M98" s="338"/>
      <c r="N98" s="338"/>
      <c r="O98" s="338"/>
      <c r="P98" s="338"/>
      <c r="Q98" s="338"/>
      <c r="R98" s="338"/>
      <c r="S98" s="338"/>
    </row>
    <row r="99" spans="1:19" ht="45">
      <c r="A99" s="420" t="str">
        <f>HLOOKUP($K$7,'RICON-S_Sprachen_DE-EN-FR'!$A$1:$C$71,61,FALSE)</f>
        <v>RICON® S 200/60 VS ST
HT: 16xSK8x80
NT: 16xSK8x160</v>
      </c>
      <c r="B99" s="354" t="s">
        <v>457</v>
      </c>
      <c r="C99" s="550">
        <f>IF($B$76='RICON_RICON-S-EK_GIGANT_WALCO '!$V$20,'RICON-S-VS'!D11*'RICON-S-VS'!G11,IF('RICON-S'!$B$76='RICON_RICON-S-EK_GIGANT_WALCO '!$V$21,'RICON-S-VS'!C93,IF('RICON-S'!$B$76='RICON_RICON-S-EK_GIGANT_WALCO '!$V$22,18,'RICON-S-VS'!C201)))</f>
        <v>60</v>
      </c>
      <c r="D99" s="550">
        <f>IF($B$76='RICON_RICON-S-EK_GIGANT_WALCO '!$V$20,'RICON-S-VS'!N11,IF('RICON-S'!$B$76='RICON_RICON-S-EK_GIGANT_WALCO '!$V$21,'RICON-S-VS'!F93,IF('RICON-S'!$B$76='RICON_RICON-S-EK_GIGANT_WALCO '!$V$22,'RICON-S-VS'!F93,'RICON-S-VS'!E201)))</f>
        <v>56.622579600426967</v>
      </c>
      <c r="E99" s="546">
        <f t="shared" si="7"/>
        <v>60</v>
      </c>
      <c r="F99" s="81">
        <f t="shared" si="8"/>
        <v>26.13349827712014</v>
      </c>
      <c r="G99" s="81">
        <f t="shared" si="6"/>
        <v>30.489081323306827</v>
      </c>
      <c r="H99" s="81">
        <f t="shared" si="6"/>
        <v>34.844664369493522</v>
      </c>
      <c r="I99" s="81">
        <f t="shared" si="6"/>
        <v>39.200247415680209</v>
      </c>
      <c r="J99" s="81">
        <f t="shared" si="6"/>
        <v>43.555830461866897</v>
      </c>
      <c r="K99" s="81">
        <f t="shared" si="6"/>
        <v>47.911413508053592</v>
      </c>
      <c r="L99" s="439"/>
      <c r="M99" s="338"/>
      <c r="N99" s="338"/>
      <c r="O99" s="338"/>
      <c r="P99" s="338"/>
      <c r="Q99" s="338"/>
      <c r="R99" s="338"/>
      <c r="S99" s="338"/>
    </row>
    <row r="100" spans="1:19" ht="45.75" thickBot="1">
      <c r="A100" s="506" t="str">
        <f>HLOOKUP($K$7,'RICON-S_Sprachen_DE-EN-FR'!$A$1:$C$71,62,FALSE)</f>
        <v>RICON® S 200/60 VS Max
HT: 16xSK8x80
NT: 16xSK8x240</v>
      </c>
      <c r="B100" s="422" t="s">
        <v>874</v>
      </c>
      <c r="C100" s="551">
        <f>IF($B$76='RICON_RICON-S-EK_GIGANT_WALCO '!$V$20,'RICON-S-VS'!D12*'RICON-S-VS'!G12,IF('RICON-S'!$B$76='RICON_RICON-S-EK_GIGANT_WALCO '!$V$21,'RICON-S-VS'!C94,IF('RICON-S'!$B$76='RICON_RICON-S-EK_GIGANT_WALCO '!$V$22,18,'RICON-S-VS'!C202)))</f>
        <v>60</v>
      </c>
      <c r="D100" s="551">
        <f>IF($B$76='RICON_RICON-S-EK_GIGANT_WALCO '!$V$20,'RICON-S-VS'!N12,IF('RICON-S'!$B$76='RICON_RICON-S-EK_GIGANT_WALCO '!$V$21,'RICON-S-VS'!F94,IF('RICON-S'!$B$76='RICON_RICON-S-EK_GIGANT_WALCO '!$V$22,'RICON-S-VS'!F94,'RICON-S-VS'!E202)))</f>
        <v>66.480609906200655</v>
      </c>
      <c r="E100" s="549">
        <f t="shared" si="7"/>
        <v>60</v>
      </c>
      <c r="F100" s="235">
        <f t="shared" si="8"/>
        <v>30.683358418246456</v>
      </c>
      <c r="G100" s="235">
        <f t="shared" si="6"/>
        <v>35.797251487954192</v>
      </c>
      <c r="H100" s="235">
        <f t="shared" si="6"/>
        <v>40.911144557661942</v>
      </c>
      <c r="I100" s="235">
        <f t="shared" si="6"/>
        <v>46.025037627369684</v>
      </c>
      <c r="J100" s="235">
        <f t="shared" si="6"/>
        <v>51.138930697077427</v>
      </c>
      <c r="K100" s="235">
        <f t="shared" si="6"/>
        <v>56.25282376678517</v>
      </c>
      <c r="L100" s="439"/>
      <c r="M100" s="338"/>
      <c r="N100" s="338"/>
      <c r="O100" s="338"/>
      <c r="P100" s="338"/>
      <c r="Q100" s="338"/>
      <c r="R100" s="338"/>
      <c r="S100" s="338"/>
    </row>
    <row r="101" spans="1:19" ht="45.75" thickTop="1">
      <c r="A101" s="420" t="str">
        <f>HLOOKUP($K$7,'RICON-S_Sprachen_DE-EN-FR'!$A$1:$C$71,63,FALSE)</f>
        <v>RICON® S 200/80 VS Min
HT: 8xSK10x100
NT: 8xSK10x200</v>
      </c>
      <c r="B101" s="354" t="s">
        <v>466</v>
      </c>
      <c r="C101" s="552">
        <f>IF($B$76='RICON_RICON-S-EK_GIGANT_WALCO '!$V$20,'RICON-S-VS'!D13*'RICON-S-VS'!G13,IF('RICON-S'!$B$76='RICON_RICON-S-EK_GIGANT_WALCO '!$V$21,'RICON-S-VS'!C95,IF('RICON-S'!$B$76='RICON_RICON-S-EK_GIGANT_WALCO '!$V$22,18,'RICON-S-VS'!C203)))</f>
        <v>99</v>
      </c>
      <c r="D101" s="552">
        <f>IF($B$76='RICON_RICON-S-EK_GIGANT_WALCO '!$V$20,'RICON-S-VS'!N13,IF('RICON-S'!$B$76='RICON_RICON-S-EK_GIGANT_WALCO '!$V$21,'RICON-S-VS'!F95,IF('RICON-S'!$B$76='RICON_RICON-S-EK_GIGANT_WALCO '!$V$22,'RICON-S-VS'!F95,'RICON-S-VS'!E203)))</f>
        <v>42.334298094233297</v>
      </c>
      <c r="E101" s="548">
        <f t="shared" si="7"/>
        <v>99</v>
      </c>
      <c r="F101" s="236">
        <f t="shared" si="8"/>
        <v>19.538906812723059</v>
      </c>
      <c r="G101" s="236">
        <f t="shared" si="6"/>
        <v>22.795391281510234</v>
      </c>
      <c r="H101" s="236">
        <f t="shared" si="6"/>
        <v>26.051875750297416</v>
      </c>
      <c r="I101" s="236">
        <f t="shared" si="6"/>
        <v>29.308360219084591</v>
      </c>
      <c r="J101" s="236">
        <f t="shared" si="6"/>
        <v>32.564844687871769</v>
      </c>
      <c r="K101" s="236">
        <f t="shared" si="6"/>
        <v>35.821329156658948</v>
      </c>
      <c r="L101" s="439"/>
      <c r="M101" s="338"/>
      <c r="N101" s="338"/>
      <c r="O101" s="338"/>
      <c r="P101" s="338"/>
      <c r="Q101" s="338"/>
      <c r="R101" s="338"/>
      <c r="S101" s="338"/>
    </row>
    <row r="102" spans="1:19" ht="45">
      <c r="A102" s="420" t="str">
        <f>HLOOKUP($K$7,'RICON-S_Sprachen_DE-EN-FR'!$A$1:$C$71,64,FALSE)</f>
        <v>RICON® S 200/80 VS ST
HT: 16xSK10x100
NT: 16xSK10x200</v>
      </c>
      <c r="B102" s="354" t="s">
        <v>466</v>
      </c>
      <c r="C102" s="550">
        <f>IF($B$76='RICON_RICON-S-EK_GIGANT_WALCO '!$V$20,'RICON-S-VS'!D14*'RICON-S-VS'!G14,IF('RICON-S'!$B$76='RICON_RICON-S-EK_GIGANT_WALCO '!$V$21,'RICON-S-VS'!C96,IF('RICON-S'!$B$76='RICON_RICON-S-EK_GIGANT_WALCO '!$V$22,18,'RICON-S-VS'!C204)))</f>
        <v>99</v>
      </c>
      <c r="D102" s="550">
        <f>IF($B$76='RICON_RICON-S-EK_GIGANT_WALCO '!$V$20,'RICON-S-VS'!N14,IF('RICON-S'!$B$76='RICON_RICON-S-EK_GIGANT_WALCO '!$V$21,'RICON-S-VS'!F96,IF('RICON-S'!$B$76='RICON_RICON-S-EK_GIGANT_WALCO '!$V$22,'RICON-S-VS'!F96,'RICON-S-VS'!E204)))</f>
        <v>78.998593590946925</v>
      </c>
      <c r="E102" s="546">
        <f t="shared" si="7"/>
        <v>99</v>
      </c>
      <c r="F102" s="81">
        <f t="shared" si="8"/>
        <v>36.460889349667809</v>
      </c>
      <c r="G102" s="81">
        <f t="shared" si="6"/>
        <v>42.537704241279108</v>
      </c>
      <c r="H102" s="81">
        <f t="shared" si="6"/>
        <v>48.614519132890415</v>
      </c>
      <c r="I102" s="81">
        <f t="shared" si="6"/>
        <v>54.691334024501714</v>
      </c>
      <c r="J102" s="81">
        <f t="shared" si="6"/>
        <v>60.76814891611302</v>
      </c>
      <c r="K102" s="81">
        <f t="shared" si="6"/>
        <v>66.844963807724326</v>
      </c>
      <c r="L102" s="439"/>
      <c r="M102" s="338"/>
      <c r="N102" s="338"/>
      <c r="O102" s="338"/>
      <c r="P102" s="338"/>
      <c r="Q102" s="338"/>
      <c r="R102" s="338"/>
      <c r="S102" s="338"/>
    </row>
    <row r="103" spans="1:19" ht="45.75" thickBot="1">
      <c r="A103" s="506" t="str">
        <f>HLOOKUP($K$7,'RICON-S_Sprachen_DE-EN-FR'!$A$1:$C$71,65,FALSE)</f>
        <v>RICON® S 200/80 VS Max
HT: 16xSK10x100
NT: 16xSK10x300</v>
      </c>
      <c r="B103" s="422" t="s">
        <v>875</v>
      </c>
      <c r="C103" s="551">
        <f>IF($B$76='RICON_RICON-S-EK_GIGANT_WALCO '!$V$20,'RICON-S-VS'!D15*'RICON-S-VS'!G15,IF('RICON-S'!$B$76='RICON_RICON-S-EK_GIGANT_WALCO '!$V$21,'RICON-S-VS'!C97,IF('RICON-S'!$B$76='RICON_RICON-S-EK_GIGANT_WALCO '!$V$22,18,'RICON-S-VS'!C205)))</f>
        <v>99</v>
      </c>
      <c r="D103" s="551">
        <f>IF($B$76='RICON_RICON-S-EK_GIGANT_WALCO '!$V$20,'RICON-S-VS'!N15,IF('RICON-S'!$B$76='RICON_RICON-S-EK_GIGANT_WALCO '!$V$21,'RICON-S-VS'!F97,IF('RICON-S'!$B$76='RICON_RICON-S-EK_GIGANT_WALCO '!$V$22,'RICON-S-VS'!F97,'RICON-S-VS'!E205)))</f>
        <v>92.415567140008505</v>
      </c>
      <c r="E103" s="549">
        <f t="shared" si="7"/>
        <v>99</v>
      </c>
      <c r="F103" s="235">
        <f t="shared" si="8"/>
        <v>42.653338680003927</v>
      </c>
      <c r="G103" s="235">
        <f t="shared" si="6"/>
        <v>49.762228460004579</v>
      </c>
      <c r="H103" s="235">
        <f t="shared" si="6"/>
        <v>56.871118240005231</v>
      </c>
      <c r="I103" s="235">
        <f t="shared" si="6"/>
        <v>63.980008020005883</v>
      </c>
      <c r="J103" s="235">
        <f t="shared" si="6"/>
        <v>71.088897800006535</v>
      </c>
      <c r="K103" s="235">
        <f t="shared" si="6"/>
        <v>78.197787580007201</v>
      </c>
      <c r="L103" s="439"/>
      <c r="M103" s="338"/>
      <c r="N103" s="338"/>
      <c r="O103" s="338"/>
      <c r="P103" s="338"/>
      <c r="Q103" s="338"/>
      <c r="R103" s="338"/>
      <c r="S103" s="338"/>
    </row>
    <row r="104" spans="1:19" ht="45.75" thickTop="1">
      <c r="A104" s="420" t="str">
        <f>HLOOKUP($K$7,'RICON-S_Sprachen_DE-EN-FR'!$A$1:$C$71,66,FALSE)</f>
        <v>RICON® S 290/80 VS Min
HT: 8xSK10x100
NT: 8xSK10x200</v>
      </c>
      <c r="B104" s="354" t="s">
        <v>467</v>
      </c>
      <c r="C104" s="552">
        <f>IF($B$76='RICON_RICON-S-EK_GIGANT_WALCO '!$V$20,'RICON-S-VS'!D16*'RICON-S-VS'!G16,IF('RICON-S'!$B$76='RICON_RICON-S-EK_GIGANT_WALCO '!$V$21,'RICON-S-VS'!C98,IF('RICON-S'!$B$76='RICON_RICON-S-EK_GIGANT_WALCO '!$V$22,18,'RICON-S-VS'!C206)))</f>
        <v>99</v>
      </c>
      <c r="D104" s="552">
        <f>IF($B$76='RICON_RICON-S-EK_GIGANT_WALCO '!$V$20,'RICON-S-VS'!N16,IF('RICON-S'!$B$76='RICON_RICON-S-EK_GIGANT_WALCO '!$V$21,'RICON-S-VS'!F98,IF('RICON-S'!$B$76='RICON_RICON-S-EK_GIGANT_WALCO '!$V$22,'RICON-S-VS'!F98,'RICON-S-VS'!E206)))</f>
        <v>42.334298094233297</v>
      </c>
      <c r="E104" s="548">
        <f t="shared" si="7"/>
        <v>99</v>
      </c>
      <c r="F104" s="236">
        <f t="shared" si="8"/>
        <v>19.538906812723059</v>
      </c>
      <c r="G104" s="236">
        <f t="shared" si="6"/>
        <v>22.795391281510234</v>
      </c>
      <c r="H104" s="236">
        <f t="shared" si="6"/>
        <v>26.051875750297416</v>
      </c>
      <c r="I104" s="236">
        <f t="shared" si="6"/>
        <v>29.308360219084591</v>
      </c>
      <c r="J104" s="236">
        <f t="shared" si="6"/>
        <v>32.564844687871769</v>
      </c>
      <c r="K104" s="236">
        <f t="shared" si="6"/>
        <v>35.821329156658948</v>
      </c>
      <c r="L104" s="439"/>
      <c r="M104" s="338"/>
      <c r="N104" s="338"/>
      <c r="O104" s="338"/>
      <c r="P104" s="338"/>
      <c r="Q104" s="338"/>
      <c r="R104" s="338"/>
      <c r="S104" s="338"/>
    </row>
    <row r="105" spans="1:19" ht="45">
      <c r="A105" s="420" t="str">
        <f>HLOOKUP($K$7,'RICON-S_Sprachen_DE-EN-FR'!$A$1:$C$71,67,FALSE)</f>
        <v>RICON® S 290/80 VS ST
HT: 25xSK10x100
NT: 25xSK10x200</v>
      </c>
      <c r="B105" s="354" t="s">
        <v>467</v>
      </c>
      <c r="C105" s="550">
        <f>IF($B$76='RICON_RICON-S-EK_GIGANT_WALCO '!$V$20,'RICON-S-VS'!D17*'RICON-S-VS'!G17,IF('RICON-S'!$B$76='RICON_RICON-S-EK_GIGANT_WALCO '!$V$21,'RICON-S-VS'!C99,IF('RICON-S'!$B$76='RICON_RICON-S-EK_GIGANT_WALCO '!$V$22,18,'RICON-S-VS'!C207)))</f>
        <v>99</v>
      </c>
      <c r="D105" s="550">
        <f>IF($B$76='RICON_RICON-S-EK_GIGANT_WALCO '!$V$20,'RICON-S-VS'!N17,IF('RICON-S'!$B$76='RICON_RICON-S-EK_GIGANT_WALCO '!$V$21,'RICON-S-VS'!F99,IF('RICON-S'!$B$76='RICON_RICON-S-EK_GIGANT_WALCO '!$V$22,'RICON-S-VS'!F99,'RICON-S-VS'!E207)))</f>
        <v>118.04766009468641</v>
      </c>
      <c r="E105" s="546">
        <f t="shared" si="7"/>
        <v>99</v>
      </c>
      <c r="F105" s="81">
        <f t="shared" si="8"/>
        <v>54.483535428316806</v>
      </c>
      <c r="G105" s="81">
        <f t="shared" si="6"/>
        <v>63.564124666369601</v>
      </c>
      <c r="H105" s="81">
        <f t="shared" si="6"/>
        <v>72.644713904422403</v>
      </c>
      <c r="I105" s="81">
        <f t="shared" si="6"/>
        <v>81.725303142475198</v>
      </c>
      <c r="J105" s="81">
        <f t="shared" si="6"/>
        <v>90.805892380528007</v>
      </c>
      <c r="K105" s="81">
        <f t="shared" si="6"/>
        <v>99</v>
      </c>
      <c r="L105" s="439"/>
      <c r="M105" s="338"/>
      <c r="N105" s="338"/>
      <c r="O105" s="338"/>
      <c r="P105" s="338"/>
      <c r="Q105" s="338"/>
      <c r="R105" s="338"/>
      <c r="S105" s="338"/>
    </row>
    <row r="106" spans="1:19" ht="45.75" thickBot="1">
      <c r="A106" s="506" t="str">
        <f>HLOOKUP($K$7,'RICON-S_Sprachen_DE-EN-FR'!$A$1:$C$71,68,FALSE)</f>
        <v>RICON® S 290/80 VS Max
HT: 25 SK 10x100
NT: 25 SK 10x300</v>
      </c>
      <c r="B106" s="422" t="s">
        <v>876</v>
      </c>
      <c r="C106" s="551">
        <f>IF($B$76='RICON_RICON-S-EK_GIGANT_WALCO '!$V$20,'RICON-S-VS'!D18*'RICON-S-VS'!G18,IF('RICON-S'!$B$76='RICON_RICON-S-EK_GIGANT_WALCO '!$V$21,'RICON-S-VS'!C100,IF('RICON-S'!$B$76='RICON_RICON-S-EK_GIGANT_WALCO '!$V$22,18,'RICON-S-VS'!C208)))</f>
        <v>99</v>
      </c>
      <c r="D106" s="551">
        <f>IF($B$76='RICON_RICON-S-EK_GIGANT_WALCO '!$V$20,'RICON-S-VS'!N18,IF('RICON-S'!$B$76='RICON_RICON-S-EK_GIGANT_WALCO '!$V$21,'RICON-S-VS'!F100,IF('RICON-S'!$B$76='RICON_RICON-S-EK_GIGANT_WALCO '!$V$22,'RICON-S-VS'!F100,'RICON-S-VS'!E208)))</f>
        <v>142.69127424794846</v>
      </c>
      <c r="E106" s="549">
        <f t="shared" si="7"/>
        <v>99</v>
      </c>
      <c r="F106" s="235">
        <f t="shared" si="8"/>
        <v>65.857511191360828</v>
      </c>
      <c r="G106" s="235">
        <f t="shared" si="6"/>
        <v>76.833763056587628</v>
      </c>
      <c r="H106" s="235">
        <f t="shared" si="6"/>
        <v>87.810014921814428</v>
      </c>
      <c r="I106" s="235">
        <f t="shared" si="6"/>
        <v>98.786266787041242</v>
      </c>
      <c r="J106" s="235">
        <f t="shared" si="6"/>
        <v>99</v>
      </c>
      <c r="K106" s="235">
        <f t="shared" si="6"/>
        <v>99</v>
      </c>
      <c r="L106" s="439"/>
      <c r="M106" s="338"/>
      <c r="N106" s="338"/>
      <c r="O106" s="338"/>
      <c r="P106" s="338"/>
      <c r="Q106" s="338"/>
      <c r="R106" s="338"/>
      <c r="S106" s="338"/>
    </row>
    <row r="107" spans="1:19" ht="45.75" thickTop="1">
      <c r="A107" s="420" t="str">
        <f>HLOOKUP($K$7,'RICON-S_Sprachen_DE-EN-FR'!$A$1:$C$71,69,FALSE)</f>
        <v xml:space="preserve">RICON® S 390/80 VS + ZP Min
HT: 28xSK10x100 
NT: 28xSK10x200 </v>
      </c>
      <c r="B107" s="354" t="s">
        <v>877</v>
      </c>
      <c r="C107" s="552">
        <f>IF($B$76='RICON_RICON-S-EK_GIGANT_WALCO '!$V$20,'RICON-S-VS'!D19*'RICON-S-VS'!G19,IF('RICON-S'!$B$76='RICON_RICON-S-EK_GIGANT_WALCO '!$V$21,'RICON-S-VS'!C101,IF('RICON-S'!$B$76='RICON_RICON-S-EK_GIGANT_WALCO '!$V$22,18,'RICON-S-VS'!C209)))</f>
        <v>180</v>
      </c>
      <c r="D107" s="552">
        <f>IF($B$76='RICON_RICON-S-EK_GIGANT_WALCO '!$V$20,'RICON-S-VS'!N19,IF('RICON-S'!$B$76='RICON_RICON-S-EK_GIGANT_WALCO '!$V$21,'RICON-S-VS'!F101,IF('RICON-S'!$B$76='RICON_RICON-S-EK_GIGANT_WALCO '!$V$22,'RICON-S-VS'!F101,'RICON-S-VS'!E209)))</f>
        <v>130.55707715016831</v>
      </c>
      <c r="E107" s="548">
        <f t="shared" si="7"/>
        <v>180</v>
      </c>
      <c r="F107" s="236">
        <f t="shared" si="8"/>
        <v>60.257112530846904</v>
      </c>
      <c r="G107" s="236">
        <f t="shared" si="6"/>
        <v>70.299964619321401</v>
      </c>
      <c r="H107" s="236">
        <f t="shared" si="6"/>
        <v>80.342816707795876</v>
      </c>
      <c r="I107" s="236">
        <f t="shared" si="6"/>
        <v>90.385668796270366</v>
      </c>
      <c r="J107" s="236">
        <f t="shared" si="6"/>
        <v>100.42852088474486</v>
      </c>
      <c r="K107" s="236">
        <f t="shared" si="6"/>
        <v>110.47137297321935</v>
      </c>
      <c r="L107" s="439"/>
      <c r="M107" s="338"/>
      <c r="N107" s="338"/>
      <c r="P107" s="338"/>
      <c r="Q107" s="338"/>
      <c r="R107" s="338"/>
      <c r="S107" s="338"/>
    </row>
    <row r="108" spans="1:19" ht="75">
      <c r="A108" s="540" t="str">
        <f>HLOOKUP($K$7,'RICON-S_Sprachen_DE-EN-FR'!$A$1:$C$71,70,FALSE)</f>
        <v>RICON® S 390/80 VS + ZP ST
HT: 28xSK10x100 + 2xSK10x400 
NT: 28xSK10x200 + 2xSK10x450</v>
      </c>
      <c r="B108" s="352" t="s">
        <v>878</v>
      </c>
      <c r="C108" s="550">
        <f>IF($B$76='RICON_RICON-S-EK_GIGANT_WALCO '!$V$20,'RICON-S-VS'!D20*'RICON-S-VS'!G20,IF('RICON-S'!$B$76='RICON_RICON-S-EK_GIGANT_WALCO '!$V$21,'RICON-S-VS'!C102,IF('RICON-S'!$B$76='RICON_RICON-S-EK_GIGANT_WALCO '!$V$22,18,'RICON-S-VS'!C210)))</f>
        <v>180</v>
      </c>
      <c r="D108" s="550">
        <f>IF($B$76='RICON_RICON-S-EK_GIGANT_WALCO '!$V$20,'RICON-S-VS'!N20,IF('RICON-S'!$B$76='RICON_RICON-S-EK_GIGANT_WALCO '!$V$21,'RICON-S-VS'!F102,IF('RICON-S'!$B$76='RICON_RICON-S-EK_GIGANT_WALCO '!$V$22,'RICON-S-VS'!F102,'RICON-S-VS'!E210)))</f>
        <v>170.55707715016831</v>
      </c>
      <c r="E108" s="546">
        <f t="shared" si="7"/>
        <v>180</v>
      </c>
      <c r="F108" s="81">
        <f t="shared" si="8"/>
        <v>78.718650992385363</v>
      </c>
      <c r="G108" s="81">
        <f t="shared" si="6"/>
        <v>91.838426157782934</v>
      </c>
      <c r="H108" s="81">
        <f t="shared" si="6"/>
        <v>104.9582013231805</v>
      </c>
      <c r="I108" s="81">
        <f t="shared" si="6"/>
        <v>118.07797648857806</v>
      </c>
      <c r="J108" s="81">
        <f t="shared" si="6"/>
        <v>131.19775165397562</v>
      </c>
      <c r="K108" s="81">
        <f t="shared" si="6"/>
        <v>144.3175268193732</v>
      </c>
      <c r="L108" s="439"/>
      <c r="M108" s="338"/>
      <c r="N108" s="338"/>
      <c r="O108" s="338"/>
      <c r="P108" s="338"/>
      <c r="Q108" s="338"/>
      <c r="R108" s="338"/>
      <c r="S108" s="338"/>
    </row>
    <row r="109" spans="1:19" ht="75">
      <c r="A109" s="541" t="str">
        <f>HLOOKUP($K$7,'RICON-S_Sprachen_DE-EN-FR'!$A$1:$C$71,71,FALSE)</f>
        <v>RICON® S 390/80 VS + ZP Max
HT: 28xSK10x100 + 2xSK10x400 
NT: 28xSK10x300 + 2xSK10x450</v>
      </c>
      <c r="B109" s="352" t="s">
        <v>878</v>
      </c>
      <c r="C109" s="550">
        <f>IF($B$76='RICON_RICON-S-EK_GIGANT_WALCO '!$V$20,'RICON-S-VS'!D21*'RICON-S-VS'!G21,IF('RICON-S'!$B$76='RICON_RICON-S-EK_GIGANT_WALCO '!$V$21,'RICON-S-VS'!C103,IF('RICON-S'!$B$76='RICON_RICON-S-EK_GIGANT_WALCO '!$V$22,18,'RICON-S-VS'!C211)))</f>
        <v>180</v>
      </c>
      <c r="D109" s="550">
        <f>IF($B$76='RICON_RICON-S-EK_GIGANT_WALCO '!$V$20,'RICON-S-VS'!N21,IF('RICON-S'!$B$76='RICON_RICON-S-EK_GIGANT_WALCO '!$V$21,'RICON-S-VS'!F103,IF('RICON-S'!$B$76='RICON_RICON-S-EK_GIGANT_WALCO '!$V$22,'RICON-S-VS'!F103,'RICON-S-VS'!E211)))</f>
        <v>195.31191951462577</v>
      </c>
      <c r="E109" s="546">
        <f t="shared" si="7"/>
        <v>180</v>
      </c>
      <c r="F109" s="81">
        <f t="shared" si="8"/>
        <v>90.143962852904195</v>
      </c>
      <c r="G109" s="81">
        <f t="shared" si="6"/>
        <v>105.16795666172155</v>
      </c>
      <c r="H109" s="81">
        <f t="shared" si="6"/>
        <v>120.19195047053894</v>
      </c>
      <c r="I109" s="81">
        <f t="shared" si="6"/>
        <v>135.21594427935631</v>
      </c>
      <c r="J109" s="81">
        <f t="shared" si="6"/>
        <v>150.23993808817366</v>
      </c>
      <c r="K109" s="81">
        <f t="shared" si="6"/>
        <v>165.26393189699104</v>
      </c>
      <c r="L109" s="439"/>
      <c r="M109" s="338"/>
      <c r="N109" s="338"/>
      <c r="O109" s="338"/>
      <c r="P109" s="338"/>
      <c r="Q109" s="338"/>
      <c r="R109" s="338"/>
      <c r="S109" s="338"/>
    </row>
    <row r="110" spans="1:19">
      <c r="A110" s="333"/>
      <c r="B110" s="355"/>
      <c r="C110" s="338"/>
      <c r="D110" s="338"/>
      <c r="E110" s="338"/>
      <c r="F110" s="338"/>
      <c r="G110" s="338"/>
      <c r="H110" s="338"/>
      <c r="I110" s="338"/>
      <c r="K110" s="333"/>
      <c r="L110" s="338"/>
      <c r="M110" s="338"/>
      <c r="N110" s="338"/>
      <c r="O110" s="338"/>
      <c r="P110" s="338"/>
      <c r="Q110" s="338"/>
      <c r="R110" s="338"/>
    </row>
    <row r="111" spans="1:19">
      <c r="A111" s="333" t="str">
        <f>HLOOKUP($K$7,'RICON-S_Sprachen_DE-EN-FR'!$A$1:$C$72,72,FALSE)</f>
        <v>Berechnung von F2,Rd:</v>
      </c>
      <c r="B111" s="355"/>
      <c r="C111" s="368" t="str">
        <f>HLOOKUP($K$7,'RICON-S_Sprachen_DE-EN-FR'!$A$1:$C$73,73,FALSE)</f>
        <v>* Alternativabmessung des Querschnittes in Bezug auf die gleiche Schubkraft mit F2,Rk aus Tabelle.</v>
      </c>
      <c r="D111" s="338"/>
      <c r="E111" s="338"/>
      <c r="F111" s="338"/>
      <c r="G111" s="338"/>
      <c r="H111" s="338"/>
      <c r="I111" s="338"/>
      <c r="K111" s="333"/>
      <c r="L111" s="338"/>
      <c r="M111" s="338"/>
      <c r="N111" s="338"/>
      <c r="O111" s="338"/>
      <c r="P111" s="338"/>
      <c r="Q111" s="338"/>
      <c r="R111" s="338"/>
    </row>
    <row r="112" spans="1:19">
      <c r="A112" s="333"/>
      <c r="B112" s="355"/>
      <c r="C112" s="368" t="str">
        <f>HLOOKUP($K$7,'RICON-S_Sprachen_DE-EN-FR'!$A$1:$C$74,74,FALSE)</f>
        <v>z.B. RICON S 140x60 VS Max:</v>
      </c>
      <c r="D112" s="338"/>
      <c r="E112" s="338"/>
      <c r="F112" s="338"/>
      <c r="G112" s="338"/>
      <c r="H112" s="338"/>
      <c r="I112" s="338"/>
      <c r="K112" s="333"/>
      <c r="L112" s="338"/>
      <c r="M112" s="338"/>
      <c r="N112" s="338"/>
      <c r="O112" s="338"/>
      <c r="P112" s="338"/>
      <c r="Q112" s="338"/>
      <c r="R112" s="338"/>
    </row>
    <row r="113" spans="1:18">
      <c r="A113" s="333"/>
      <c r="B113" s="355"/>
      <c r="C113" s="368" t="str">
        <f>HLOOKUP($K$7,'RICON-S_Sprachen_DE-EN-FR'!$A$1:$C$75,75,FALSE)</f>
        <v>Mindestquerschnitt: 100x260  A= 260cm²,  Schubspannung: t = 1,5 * 40,2 / 260 = 0,23 kN/cm²</v>
      </c>
      <c r="D113" s="338"/>
      <c r="E113" s="338"/>
      <c r="F113" s="338"/>
      <c r="G113" s="338"/>
      <c r="H113" s="338"/>
      <c r="I113" s="338"/>
      <c r="K113" s="333"/>
      <c r="L113" s="338"/>
      <c r="M113" s="338"/>
      <c r="N113" s="338"/>
      <c r="O113" s="338"/>
      <c r="P113" s="338"/>
      <c r="Q113" s="338"/>
      <c r="R113" s="338"/>
    </row>
    <row r="114" spans="1:18">
      <c r="A114" s="333"/>
      <c r="B114" s="355"/>
      <c r="C114" s="368" t="str">
        <f>HLOOKUP($K$7,'RICON-S_Sprachen_DE-EN-FR'!$A$1:$C$76,76,FALSE)</f>
        <v>Alternativquerschnitt: 120x220*  A= 264 cm², Schubspannung: t = 1,5 * 40,2 / 264 = 0,23 kN/cm²</v>
      </c>
      <c r="D114" s="338"/>
      <c r="E114" s="338"/>
      <c r="F114" s="338"/>
      <c r="G114" s="338"/>
      <c r="H114" s="338"/>
      <c r="I114" s="338"/>
      <c r="K114" s="333"/>
      <c r="L114" s="338"/>
      <c r="M114" s="338"/>
      <c r="N114" s="338"/>
      <c r="O114" s="338"/>
      <c r="P114" s="338"/>
      <c r="Q114" s="338"/>
      <c r="R114" s="338"/>
    </row>
    <row r="115" spans="1:18">
      <c r="A115" s="333"/>
      <c r="B115" s="355"/>
      <c r="C115" s="368" t="str">
        <f>HLOOKUP($K$7,'RICON-S_Sprachen_DE-EN-FR'!$A$1:$C$77,77,FALSE)</f>
        <v>Die Schubkraft des Nebenträgers ist bei beiden Querschnitten gleich groß. Die Schubkraft ist auf die F2,Rk = 40,2 kN (GL24h) Last angepasst.</v>
      </c>
      <c r="D115" s="338"/>
      <c r="E115" s="338"/>
      <c r="F115" s="338"/>
      <c r="G115" s="338"/>
      <c r="H115" s="338"/>
      <c r="I115" s="338"/>
      <c r="K115" s="333"/>
      <c r="L115" s="338"/>
      <c r="M115" s="338"/>
      <c r="N115" s="338"/>
      <c r="O115" s="338"/>
      <c r="P115" s="338"/>
      <c r="Q115" s="338"/>
      <c r="R115" s="338"/>
    </row>
    <row r="116" spans="1:18">
      <c r="A116" s="811"/>
      <c r="B116" s="811"/>
      <c r="C116" s="811"/>
      <c r="D116" s="811"/>
      <c r="E116" s="811"/>
      <c r="F116" s="811"/>
      <c r="G116" s="811"/>
      <c r="H116" s="811"/>
      <c r="I116" s="811"/>
      <c r="J116" s="811"/>
      <c r="K116" s="333"/>
      <c r="L116" s="338"/>
      <c r="M116" s="338"/>
      <c r="N116" s="338"/>
      <c r="O116" s="338"/>
      <c r="P116" s="338"/>
      <c r="Q116" s="338"/>
      <c r="R116" s="338"/>
    </row>
    <row r="117" spans="1:18">
      <c r="A117" s="333"/>
      <c r="B117" s="355"/>
      <c r="C117" s="338"/>
      <c r="D117" s="338"/>
      <c r="E117" s="338"/>
      <c r="F117" s="338"/>
      <c r="G117" s="338"/>
      <c r="H117" s="338"/>
      <c r="I117" s="338"/>
      <c r="K117" s="333"/>
      <c r="L117" s="338"/>
      <c r="M117" s="338"/>
      <c r="N117" s="338"/>
      <c r="O117" s="338"/>
      <c r="P117" s="338"/>
      <c r="Q117" s="338"/>
      <c r="R117" s="338"/>
    </row>
    <row r="118" spans="1:18">
      <c r="A118" s="333"/>
      <c r="B118" s="355"/>
      <c r="C118" s="338"/>
      <c r="D118" s="338"/>
      <c r="E118" s="338"/>
      <c r="F118" s="338"/>
      <c r="G118" s="338"/>
      <c r="H118" s="338"/>
      <c r="I118" s="338"/>
      <c r="K118" s="333"/>
      <c r="L118" s="338"/>
      <c r="M118" s="338"/>
      <c r="N118" s="338"/>
      <c r="O118" s="338"/>
      <c r="P118" s="338"/>
      <c r="Q118" s="338"/>
      <c r="R118" s="338"/>
    </row>
    <row r="119" spans="1:18">
      <c r="A119" s="333"/>
      <c r="B119" s="355"/>
      <c r="C119" s="338"/>
      <c r="D119" s="338"/>
      <c r="E119" s="338"/>
      <c r="F119" s="338"/>
      <c r="G119" s="338"/>
      <c r="H119" s="338"/>
      <c r="I119" s="338"/>
      <c r="K119" s="333"/>
      <c r="L119" s="338"/>
      <c r="M119" s="338"/>
      <c r="N119" s="338"/>
      <c r="O119" s="338"/>
      <c r="P119" s="338"/>
      <c r="Q119" s="338"/>
      <c r="R119" s="338"/>
    </row>
  </sheetData>
  <sheetProtection algorithmName="SHA-512" hashValue="Ra31K0N9IB7ybWGZRfT/sFiS3wgROZvDKBeznOe4DMYRzqw6ZrLiZzonALUxtb8hUzV2G4QyobKYHrWvdYSQoA==" saltValue="cTxgWP8cqpntQ/99F+sHQw==" spinCount="100000" sheet="1" objects="1" scenarios="1" selectLockedCells="1"/>
  <customSheetViews>
    <customSheetView guid="{88029C9E-0AAA-4AEA-8FBA-3530118F01BF}" showGridLines="0" showRowCol="0" hiddenColumns="1">
      <selection activeCell="H13" sqref="H13"/>
      <pageMargins left="0.7" right="0.7" top="0.78740157499999996" bottom="0.78740157499999996" header="0.3" footer="0.3"/>
    </customSheetView>
  </customSheetViews>
  <mergeCells count="24">
    <mergeCell ref="J83:K84"/>
    <mergeCell ref="J87:K88"/>
    <mergeCell ref="A7:C7"/>
    <mergeCell ref="F20:H20"/>
    <mergeCell ref="A41:C41"/>
    <mergeCell ref="A77:C77"/>
    <mergeCell ref="F56:H56"/>
    <mergeCell ref="D54:H54"/>
    <mergeCell ref="A1:K2"/>
    <mergeCell ref="A116:J116"/>
    <mergeCell ref="B93:B94"/>
    <mergeCell ref="C93:D93"/>
    <mergeCell ref="B20:B21"/>
    <mergeCell ref="C20:D20"/>
    <mergeCell ref="A37:K38"/>
    <mergeCell ref="H3:I3"/>
    <mergeCell ref="J3:K3"/>
    <mergeCell ref="A73:K74"/>
    <mergeCell ref="A54:C54"/>
    <mergeCell ref="A91:C91"/>
    <mergeCell ref="B56:B57"/>
    <mergeCell ref="C56:D56"/>
    <mergeCell ref="F93:H93"/>
    <mergeCell ref="J85:K86"/>
  </mergeCells>
  <printOptions horizontalCentered="1"/>
  <pageMargins left="0.19685039370078741" right="0.19685039370078741" top="0.78740157480314965" bottom="0.74803149606299213" header="0.31496062992125984" footer="0.31496062992125984"/>
  <pageSetup paperSize="9" scale="57" orientation="portrait" horizontalDpi="1200" verticalDpi="1200" r:id="rId1"/>
  <headerFooter alignWithMargins="0">
    <oddHeader>&amp;L&amp;G</oddHeader>
    <oddFooter>&amp;CKnapp GmbH (Austria/Europe) Wassergasse 31 I A-3324 Euratsfeld  
Statik +43 (0) 7474 / 799 10 I statik@knapp-verbinder.com I www.knapp-verbinder.com I France +33 (0)3 88 48 17 87 I france@knapp-connectors.com I  www.knapp-connectors.com/fr</oddFooter>
  </headerFooter>
  <rowBreaks count="2" manualBreakCount="2">
    <brk id="36" max="11" man="1"/>
    <brk id="72" max="11" man="1"/>
  </rowBreaks>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0000000}">
          <x14:formula1>
            <xm:f>'RICON_RICON-S-EK_GIGANT_WALCO '!$V$7:$V$17</xm:f>
          </x14:formula1>
          <xm:sqref>E6 E76</xm:sqref>
        </x14:dataValidation>
        <x14:dataValidation type="list" allowBlank="1" showInputMessage="1" showErrorMessage="1" xr:uid="{00000000-0002-0000-0600-000002000000}">
          <x14:formula1>
            <xm:f>'RICON_RICON-S-EK_GIGANT_WALCO '!$V$7:$V$16</xm:f>
          </x14:formula1>
          <xm:sqref>E40</xm:sqref>
        </x14:dataValidation>
        <x14:dataValidation type="list" allowBlank="1" showInputMessage="1" showErrorMessage="1" xr:uid="{1490D2C3-C14E-4B99-9B89-D8A19B0F2ADB}">
          <x14:formula1>
            <xm:f>'RICON_Sprachen_DE_EN-FR'!$A$1:$C$1</xm:f>
          </x14:formula1>
          <xm:sqref>K7</xm:sqref>
        </x14:dataValidation>
        <x14:dataValidation type="list" allowBlank="1" showInputMessage="1" showErrorMessage="1" xr:uid="{00000000-0002-0000-0600-000001000000}">
          <x14:formula1>
            <xm:f>'RICON_RICON-S-EK_GIGANT_WALCO '!$V$27:$V$28</xm:f>
          </x14:formula1>
          <xm:sqref>E77 E7 E41</xm:sqref>
        </x14:dataValidation>
        <x14:dataValidation type="list" allowBlank="1" showInputMessage="1" showErrorMessage="1" xr:uid="{D763B8B3-B942-44C3-8EB9-F4D06068B94B}">
          <x14:formula1>
            <xm:f>'RICON_RICON-S-EK_GIGANT_WALCO '!$V$20:$V$23</xm:f>
          </x14:formula1>
          <xm:sqref>B6 B40 B76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7</vt:i4>
      </vt:variant>
    </vt:vector>
  </HeadingPairs>
  <TitlesOfParts>
    <vt:vector size="22" baseType="lpstr">
      <vt:lpstr>RICON_RICON-S-EK_GIGANT_WALCO </vt:lpstr>
      <vt:lpstr>RICON-S-VS</vt:lpstr>
      <vt:lpstr>RICON_Edelstahl</vt:lpstr>
      <vt:lpstr>Deckblatt</vt:lpstr>
      <vt:lpstr>Deckblatt-Sprachen</vt:lpstr>
      <vt:lpstr>RICON</vt:lpstr>
      <vt:lpstr>Belastungsblatt_RICON_DE</vt:lpstr>
      <vt:lpstr>RICON_Sprachen_DE_EN-FR</vt:lpstr>
      <vt:lpstr>RICON-S</vt:lpstr>
      <vt:lpstr>RICON-S_Sprachen_DE-EN-FR</vt:lpstr>
      <vt:lpstr>GIGANT</vt:lpstr>
      <vt:lpstr>GIGANT_Sprachen_DE-EN-FR</vt:lpstr>
      <vt:lpstr>Belastungsblatt_ETA_neu_EN</vt:lpstr>
      <vt:lpstr>Belastungsblatt_GIGANT_EN</vt:lpstr>
      <vt:lpstr>Belastungsblatt_RICON-S_EN</vt:lpstr>
      <vt:lpstr>Belastungsblatt_ETA_neu_EN!Druckbereich</vt:lpstr>
      <vt:lpstr>GIGANT!Druckbereich</vt:lpstr>
      <vt:lpstr>RICON!Druckbereich</vt:lpstr>
      <vt:lpstr>'RICON-S'!Druckbereich</vt:lpstr>
      <vt:lpstr>Belastungsblatt_ETA_neu_EN!Print_Area</vt:lpstr>
      <vt:lpstr>Belastungsblatt_RICON_DE!Print_Area</vt:lpstr>
      <vt:lpstr>RICON!Print_Area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Belastungstabelle Knapp Verbinder</dc:title>
  <dc:creator>Torsten Langejürgen;Tlangejuergen@knapp-verbinder.com</dc:creator>
  <cp:keywords>RICON, RICON S, Gigant</cp:keywords>
  <cp:lastModifiedBy>Torsten Langejürgen</cp:lastModifiedBy>
  <cp:lastPrinted>2022-07-07T06:13:50Z</cp:lastPrinted>
  <dcterms:created xsi:type="dcterms:W3CDTF">2018-08-22T14:09:04Z</dcterms:created>
  <dcterms:modified xsi:type="dcterms:W3CDTF">2023-01-20T08:14:17Z</dcterms:modified>
  <cp:category>Version 7 (20.01.2023)</cp:category>
</cp:coreProperties>
</file>